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ommunityattributes.sharepoint.com/Projects/6293 Bellevue Wilburton LUCA/Project Work/2 Technical and Economic Analysis/2.4 Pro Forma/Model/"/>
    </mc:Choice>
  </mc:AlternateContent>
  <xr:revisionPtr revIDLastSave="1" documentId="8_{60354D5A-CB6B-435D-9A04-A4E72B2E9587}" xr6:coauthVersionLast="47" xr6:coauthVersionMax="47" xr10:uidLastSave="{A2281F23-A5EA-4270-8740-61C55B364756}"/>
  <bookViews>
    <workbookView xWindow="28680" yWindow="-5445" windowWidth="29040" windowHeight="17520" xr2:uid="{48F790F2-15CC-4638-B92D-B74D57EB86FE}"/>
  </bookViews>
  <sheets>
    <sheet name="Introduction" sheetId="20" r:id="rId1"/>
    <sheet name="Contents" sheetId="21" r:id="rId2"/>
    <sheet name="Working Session Discussion" sheetId="23" state="hidden" r:id="rId3"/>
    <sheet name="Read Me" sheetId="32" r:id="rId4"/>
    <sheet name="Input Exhibit" sheetId="25" r:id="rId5"/>
    <sheet name="Prototype Exhibit" sheetId="16" r:id="rId6"/>
    <sheet name="YOC Exhibit" sheetId="27" r:id="rId7"/>
    <sheet name="Sensitivity Exhibits" sheetId="33" r:id="rId8"/>
    <sheet name="Static Output Exhibits" sheetId="26" r:id="rId9"/>
    <sheet name="Static Output Exhibits_in-lieu" sheetId="39" state="hidden" r:id="rId10"/>
    <sheet name="Dynamic Output Exhibit" sheetId="22" r:id="rId11"/>
    <sheet name="Model Controls" sheetId="8" r:id="rId12"/>
    <sheet name="Amenity Bonus Controls" sheetId="24" r:id="rId13"/>
    <sheet name="Prototype Controls" sheetId="29" r:id="rId14"/>
    <sheet name="Input Controls" sheetId="30" r:id="rId15"/>
    <sheet name="Model_Baseline" sheetId="28" r:id="rId16"/>
    <sheet name="Model_Scenario_Base" sheetId="7" r:id="rId17"/>
    <sheet name="Model_Scenario_Max" sheetId="12" r:id="rId18"/>
    <sheet name="Prototype Inputs" sheetId="1" r:id="rId19"/>
    <sheet name="Model Inputs" sheetId="14" r:id="rId20"/>
    <sheet name="Unit Mix" sheetId="11" r:id="rId21"/>
    <sheet name="Financing" sheetId="17" r:id="rId22"/>
    <sheet name="ARCH 2024" sheetId="15" r:id="rId23"/>
    <sheet name="Green Building" sheetId="18" r:id="rId24"/>
    <sheet name="Site Calcs" sheetId="31" r:id="rId25"/>
    <sheet name="IF_MFTE Calculations" sheetId="38" r:id="rId26"/>
    <sheet name="Lookup Lists" sheetId="13" r:id="rId27"/>
    <sheet name="Rent Tracking" sheetId="34" state="hidden" r:id="rId28"/>
    <sheet name="Output Check" sheetId="35" state="hidden" r:id="rId29"/>
    <sheet name="Development Cost Increase" sheetId="36" state="hidden" r:id="rId30"/>
    <sheet name="YOC_RLC" sheetId="37" state="hidden" r:id="rId31"/>
  </sheets>
  <definedNames>
    <definedName name="_xlnm.Print_Area" localSheetId="22">'ARCH 2024'!$A$1:$M$85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0" i="1" l="1"/>
  <c r="D119" i="1"/>
  <c r="D116" i="1" l="1"/>
  <c r="E116" i="1"/>
  <c r="E120" i="1" s="1"/>
  <c r="E119" i="1" s="1"/>
  <c r="E125" i="1" l="1"/>
  <c r="E54" i="1"/>
  <c r="E58" i="1" s="1"/>
  <c r="D82" i="38" l="1"/>
  <c r="C82" i="38"/>
  <c r="L45" i="39" l="1"/>
  <c r="K45" i="39"/>
  <c r="C42" i="39"/>
  <c r="V44" i="39"/>
  <c r="Y44" i="39" s="1"/>
  <c r="R44" i="39"/>
  <c r="U44" i="39" s="1"/>
  <c r="N44" i="39"/>
  <c r="P44" i="39" s="1"/>
  <c r="J44" i="39"/>
  <c r="M44" i="39" s="1"/>
  <c r="F44" i="39"/>
  <c r="I44" i="39" s="1"/>
  <c r="B44" i="39"/>
  <c r="E44" i="39" s="1"/>
  <c r="V43" i="39"/>
  <c r="X43" i="39" s="1"/>
  <c r="R43" i="39"/>
  <c r="U43" i="39" s="1"/>
  <c r="N43" i="39"/>
  <c r="Q43" i="39" s="1"/>
  <c r="J43" i="39"/>
  <c r="M43" i="39" s="1"/>
  <c r="F43" i="39"/>
  <c r="H43" i="39" s="1"/>
  <c r="B43" i="39"/>
  <c r="E43" i="39" s="1"/>
  <c r="V42" i="39"/>
  <c r="Y42" i="39" s="1"/>
  <c r="R42" i="39"/>
  <c r="U42" i="39" s="1"/>
  <c r="N42" i="39"/>
  <c r="P42" i="39" s="1"/>
  <c r="J42" i="39"/>
  <c r="L42" i="39" s="1"/>
  <c r="F42" i="39"/>
  <c r="I42" i="39" s="1"/>
  <c r="B42" i="39"/>
  <c r="E42" i="39" s="1"/>
  <c r="R29" i="39"/>
  <c r="C20" i="38"/>
  <c r="G16" i="38"/>
  <c r="F16" i="38"/>
  <c r="G12" i="38"/>
  <c r="F12" i="38"/>
  <c r="E12" i="38"/>
  <c r="D12" i="38"/>
  <c r="C12" i="38"/>
  <c r="G8" i="38"/>
  <c r="F8" i="38"/>
  <c r="D8" i="38"/>
  <c r="E8" i="38"/>
  <c r="C8" i="38"/>
  <c r="F15" i="38"/>
  <c r="G15" i="38"/>
  <c r="D14" i="38"/>
  <c r="E14" i="38"/>
  <c r="F14" i="38"/>
  <c r="G14" i="38"/>
  <c r="C14" i="38"/>
  <c r="D11" i="38"/>
  <c r="E11" i="38"/>
  <c r="F11" i="38"/>
  <c r="G11" i="38"/>
  <c r="C11" i="38"/>
  <c r="D10" i="38"/>
  <c r="E10" i="38"/>
  <c r="F10" i="38"/>
  <c r="G10" i="38"/>
  <c r="C10" i="38"/>
  <c r="D7" i="38"/>
  <c r="E7" i="38"/>
  <c r="F7" i="38"/>
  <c r="G7" i="38"/>
  <c r="C7" i="38"/>
  <c r="D6" i="38"/>
  <c r="E6" i="38"/>
  <c r="F6" i="38"/>
  <c r="G6" i="38"/>
  <c r="C6" i="38"/>
  <c r="D6" i="16"/>
  <c r="D7" i="16"/>
  <c r="C49" i="38" l="1"/>
  <c r="C83" i="38"/>
  <c r="D83" i="38"/>
  <c r="W43" i="39"/>
  <c r="Y43" i="39"/>
  <c r="G43" i="39"/>
  <c r="I43" i="39"/>
  <c r="O42" i="39"/>
  <c r="Q44" i="39"/>
  <c r="O44" i="39"/>
  <c r="Q42" i="39"/>
  <c r="M42" i="39"/>
  <c r="S42" i="39"/>
  <c r="K43" i="39"/>
  <c r="C44" i="39"/>
  <c r="S44" i="39"/>
  <c r="D42" i="39"/>
  <c r="T42" i="39"/>
  <c r="L43" i="39"/>
  <c r="D44" i="39"/>
  <c r="T44" i="39"/>
  <c r="G42" i="39"/>
  <c r="W42" i="39"/>
  <c r="O43" i="39"/>
  <c r="G44" i="39"/>
  <c r="W44" i="39"/>
  <c r="H42" i="39"/>
  <c r="X42" i="39"/>
  <c r="P43" i="39"/>
  <c r="H44" i="39"/>
  <c r="X44" i="39"/>
  <c r="K42" i="39"/>
  <c r="C43" i="39"/>
  <c r="S43" i="39"/>
  <c r="K44" i="39"/>
  <c r="D43" i="39"/>
  <c r="T43" i="39"/>
  <c r="L44" i="39"/>
  <c r="C29" i="38"/>
  <c r="C39" i="38"/>
  <c r="T46" i="39" l="1"/>
  <c r="S46" i="39"/>
  <c r="L47" i="39"/>
  <c r="K47" i="39"/>
  <c r="D46" i="39"/>
  <c r="C46" i="39"/>
  <c r="T45" i="39"/>
  <c r="S45" i="39"/>
  <c r="D47" i="39"/>
  <c r="C47" i="39"/>
  <c r="L46" i="39"/>
  <c r="K46" i="39"/>
  <c r="T47" i="39"/>
  <c r="S47" i="39"/>
  <c r="D45" i="39"/>
  <c r="C45" i="39"/>
  <c r="D25" i="11" l="1"/>
  <c r="E25" i="11"/>
  <c r="F25" i="11"/>
  <c r="G25" i="11"/>
  <c r="C25" i="11"/>
  <c r="D5" i="11"/>
  <c r="E5" i="11"/>
  <c r="F5" i="11"/>
  <c r="G5" i="11"/>
  <c r="D6" i="11"/>
  <c r="E6" i="11"/>
  <c r="F6" i="11"/>
  <c r="G6" i="11"/>
  <c r="D7" i="11"/>
  <c r="E7" i="11"/>
  <c r="F7" i="11"/>
  <c r="G7" i="11"/>
  <c r="D8" i="11"/>
  <c r="E8" i="11"/>
  <c r="F8" i="11"/>
  <c r="G8" i="11"/>
  <c r="C6" i="11"/>
  <c r="C7" i="11"/>
  <c r="C8" i="11"/>
  <c r="C5" i="11"/>
  <c r="B63" i="15"/>
  <c r="D149" i="1"/>
  <c r="E149" i="1"/>
  <c r="F149" i="1"/>
  <c r="G149" i="1"/>
  <c r="C149" i="1"/>
  <c r="D144" i="1"/>
  <c r="E144" i="1"/>
  <c r="F144" i="1"/>
  <c r="G144" i="1"/>
  <c r="D19" i="1"/>
  <c r="E19" i="1"/>
  <c r="F19" i="1"/>
  <c r="G19" i="1"/>
  <c r="E11" i="29"/>
  <c r="E8" i="29"/>
  <c r="K81" i="8"/>
  <c r="K82" i="8" s="1"/>
  <c r="K75" i="8"/>
  <c r="K59" i="8"/>
  <c r="C13" i="1"/>
  <c r="H34" i="8"/>
  <c r="E47" i="8"/>
  <c r="K11" i="8"/>
  <c r="K76" i="8" s="1"/>
  <c r="K10" i="8"/>
  <c r="K9" i="8"/>
  <c r="E14" i="8"/>
  <c r="E32" i="8" s="1"/>
  <c r="E23" i="1"/>
  <c r="E9" i="8"/>
  <c r="D186" i="1"/>
  <c r="E186" i="1"/>
  <c r="F186" i="1"/>
  <c r="G186" i="1"/>
  <c r="D187" i="1"/>
  <c r="E187" i="1"/>
  <c r="F187" i="1"/>
  <c r="G187" i="1"/>
  <c r="C187" i="1"/>
  <c r="C186" i="1"/>
  <c r="F122" i="1"/>
  <c r="G122" i="1"/>
  <c r="F123" i="1"/>
  <c r="G123" i="1"/>
  <c r="F61" i="1"/>
  <c r="G61" i="1"/>
  <c r="F60" i="1"/>
  <c r="G60" i="1"/>
  <c r="E28" i="8" l="1"/>
  <c r="F6" i="37"/>
  <c r="E11" i="37"/>
  <c r="D11" i="37"/>
  <c r="D10" i="37"/>
  <c r="E9" i="37"/>
  <c r="E10" i="37" s="1"/>
  <c r="D9" i="37"/>
  <c r="F7" i="37"/>
  <c r="E65" i="14"/>
  <c r="F65" i="14"/>
  <c r="G65" i="14"/>
  <c r="H65" i="14"/>
  <c r="D65" i="14"/>
  <c r="E49" i="14"/>
  <c r="F49" i="14"/>
  <c r="G49" i="14"/>
  <c r="H49" i="14"/>
  <c r="D49" i="14"/>
  <c r="E47" i="14"/>
  <c r="F47" i="14"/>
  <c r="G47" i="14"/>
  <c r="H47" i="14"/>
  <c r="D47" i="14"/>
  <c r="E44" i="14"/>
  <c r="F44" i="14"/>
  <c r="G44" i="14"/>
  <c r="H44" i="14"/>
  <c r="D44" i="14"/>
  <c r="E38" i="14"/>
  <c r="F38" i="14"/>
  <c r="G38" i="14"/>
  <c r="H38" i="14"/>
  <c r="E39" i="14"/>
  <c r="F39" i="14"/>
  <c r="G39" i="14"/>
  <c r="H39" i="14"/>
  <c r="E40" i="14"/>
  <c r="F40" i="14"/>
  <c r="G40" i="14"/>
  <c r="H40" i="14"/>
  <c r="D39" i="14"/>
  <c r="D40" i="14"/>
  <c r="D38" i="14"/>
  <c r="E31" i="14"/>
  <c r="F31" i="14"/>
  <c r="G31" i="14"/>
  <c r="H31" i="14"/>
  <c r="E32" i="14"/>
  <c r="F32" i="14"/>
  <c r="G32" i="14"/>
  <c r="H32" i="14"/>
  <c r="D32" i="14"/>
  <c r="D31" i="14"/>
  <c r="E27" i="14"/>
  <c r="F27" i="14"/>
  <c r="G27" i="14"/>
  <c r="H27" i="14"/>
  <c r="E28" i="14"/>
  <c r="F28" i="14"/>
  <c r="G28" i="14"/>
  <c r="H28" i="14"/>
  <c r="D28" i="14"/>
  <c r="D27" i="14"/>
  <c r="E23" i="14"/>
  <c r="F23" i="14"/>
  <c r="G23" i="14"/>
  <c r="H23" i="14"/>
  <c r="E24" i="14"/>
  <c r="F24" i="14"/>
  <c r="G24" i="14"/>
  <c r="H24" i="14"/>
  <c r="D24" i="14"/>
  <c r="D23" i="14"/>
  <c r="D21" i="14"/>
  <c r="E21" i="14"/>
  <c r="F21" i="14"/>
  <c r="G21" i="14"/>
  <c r="H21" i="14"/>
  <c r="E20" i="14"/>
  <c r="F20" i="14"/>
  <c r="G20" i="14"/>
  <c r="H20" i="14"/>
  <c r="D20" i="14"/>
  <c r="D6" i="14"/>
  <c r="E6" i="14"/>
  <c r="F6" i="14"/>
  <c r="G6" i="14"/>
  <c r="H6" i="14"/>
  <c r="D7" i="14"/>
  <c r="E7" i="14"/>
  <c r="F7" i="14"/>
  <c r="G7" i="14"/>
  <c r="H7" i="14"/>
  <c r="D8" i="14"/>
  <c r="E8" i="14"/>
  <c r="F8" i="14"/>
  <c r="G8" i="14"/>
  <c r="H8" i="14"/>
  <c r="E5" i="14"/>
  <c r="F5" i="14"/>
  <c r="G5" i="14"/>
  <c r="H5" i="14"/>
  <c r="D5" i="14"/>
  <c r="E34" i="8"/>
  <c r="AJ42" i="26"/>
  <c r="AK42" i="26"/>
  <c r="AJ43" i="26"/>
  <c r="AK43" i="26"/>
  <c r="AJ44" i="26"/>
  <c r="AK44" i="26"/>
  <c r="AI43" i="26"/>
  <c r="AI44" i="26"/>
  <c r="AI42" i="26"/>
  <c r="D84" i="38" l="1"/>
  <c r="C84" i="38"/>
  <c r="F42" i="26"/>
  <c r="G42" i="26" s="1"/>
  <c r="K34" i="8"/>
  <c r="K62" i="8" s="1"/>
  <c r="C5" i="31" l="1"/>
  <c r="C4" i="31"/>
  <c r="C13" i="31"/>
  <c r="M59" i="8"/>
  <c r="M52" i="8"/>
  <c r="G181" i="1"/>
  <c r="G182" i="1"/>
  <c r="F3" i="30"/>
  <c r="G3" i="30"/>
  <c r="H3" i="30"/>
  <c r="I3" i="30"/>
  <c r="E3" i="30"/>
  <c r="D191" i="1" l="1"/>
  <c r="E191" i="1"/>
  <c r="F191" i="1"/>
  <c r="G191" i="1"/>
  <c r="D192" i="1"/>
  <c r="E192" i="1"/>
  <c r="F192" i="1"/>
  <c r="G192" i="1"/>
  <c r="C192" i="1"/>
  <c r="C191" i="1"/>
  <c r="D127" i="1"/>
  <c r="E127" i="1"/>
  <c r="F127" i="1"/>
  <c r="G127" i="1"/>
  <c r="D128" i="1"/>
  <c r="E128" i="1"/>
  <c r="F128" i="1"/>
  <c r="G128" i="1"/>
  <c r="C128" i="1"/>
  <c r="C127" i="1"/>
  <c r="D180" i="1"/>
  <c r="F180" i="1"/>
  <c r="G180" i="1"/>
  <c r="D181" i="1"/>
  <c r="E181" i="1"/>
  <c r="F181" i="1"/>
  <c r="D182" i="1"/>
  <c r="E182" i="1"/>
  <c r="F182" i="1"/>
  <c r="C181" i="1"/>
  <c r="C182" i="1"/>
  <c r="C180" i="1"/>
  <c r="D173" i="1"/>
  <c r="E173" i="1"/>
  <c r="D174" i="1"/>
  <c r="E174" i="1"/>
  <c r="D175" i="1"/>
  <c r="E175" i="1"/>
  <c r="D176" i="1"/>
  <c r="E176" i="1"/>
  <c r="C174" i="1"/>
  <c r="C175" i="1"/>
  <c r="C176" i="1"/>
  <c r="C173" i="1"/>
  <c r="M30" i="29"/>
  <c r="C166" i="1" s="1"/>
  <c r="D163" i="1"/>
  <c r="E163" i="1"/>
  <c r="F163" i="1"/>
  <c r="G163" i="1"/>
  <c r="D164" i="1"/>
  <c r="E164" i="1"/>
  <c r="F164" i="1"/>
  <c r="G164" i="1"/>
  <c r="D165" i="1"/>
  <c r="E165" i="1"/>
  <c r="F165" i="1"/>
  <c r="G165" i="1"/>
  <c r="F166" i="1"/>
  <c r="G166" i="1"/>
  <c r="C164" i="1"/>
  <c r="C165" i="1"/>
  <c r="C163" i="1"/>
  <c r="D150" i="1"/>
  <c r="E150" i="1"/>
  <c r="F150" i="1"/>
  <c r="G150" i="1"/>
  <c r="C150" i="1"/>
  <c r="F156" i="1"/>
  <c r="G156" i="1"/>
  <c r="D158" i="1"/>
  <c r="E158" i="1"/>
  <c r="D159" i="1"/>
  <c r="E159" i="1"/>
  <c r="F159" i="1"/>
  <c r="G159" i="1"/>
  <c r="C158" i="1"/>
  <c r="C159" i="1"/>
  <c r="E155" i="1"/>
  <c r="G155" i="1"/>
  <c r="C155" i="1"/>
  <c r="C153" i="1" s="1"/>
  <c r="D154" i="1"/>
  <c r="E154" i="1"/>
  <c r="F154" i="1"/>
  <c r="G154" i="1"/>
  <c r="C154" i="1"/>
  <c r="D151" i="1"/>
  <c r="E151" i="1"/>
  <c r="F151" i="1"/>
  <c r="G151" i="1"/>
  <c r="D152" i="1"/>
  <c r="E152" i="1"/>
  <c r="F152" i="1"/>
  <c r="G152" i="1"/>
  <c r="C152" i="1"/>
  <c r="C151" i="1"/>
  <c r="D87" i="1"/>
  <c r="E87" i="1"/>
  <c r="F87" i="1"/>
  <c r="G87" i="1"/>
  <c r="D88" i="1"/>
  <c r="E88" i="1"/>
  <c r="F88" i="1"/>
  <c r="G88" i="1"/>
  <c r="C88" i="1"/>
  <c r="C87" i="1"/>
  <c r="D139" i="1"/>
  <c r="E139" i="1"/>
  <c r="F139" i="1"/>
  <c r="G139" i="1"/>
  <c r="C139" i="1"/>
  <c r="D54" i="1"/>
  <c r="F54" i="1"/>
  <c r="F58" i="1" s="1"/>
  <c r="G54" i="1"/>
  <c r="G58" i="1" s="1"/>
  <c r="D55" i="1"/>
  <c r="D60" i="1" s="1"/>
  <c r="E55" i="1"/>
  <c r="E60" i="1" s="1"/>
  <c r="F55" i="1"/>
  <c r="G55" i="1"/>
  <c r="D56" i="1"/>
  <c r="D61" i="1" s="1"/>
  <c r="E56" i="1"/>
  <c r="E61" i="1" s="1"/>
  <c r="F56" i="1"/>
  <c r="G56" i="1"/>
  <c r="C55" i="1"/>
  <c r="C56" i="1"/>
  <c r="C54" i="1"/>
  <c r="D52" i="1"/>
  <c r="D62" i="1" s="1"/>
  <c r="E52" i="1"/>
  <c r="E62" i="1" s="1"/>
  <c r="F52" i="1"/>
  <c r="F62" i="1" s="1"/>
  <c r="G52" i="1"/>
  <c r="G62" i="1" s="1"/>
  <c r="C52" i="1"/>
  <c r="C62" i="1" s="1"/>
  <c r="D47" i="1"/>
  <c r="E47" i="1"/>
  <c r="F47" i="1"/>
  <c r="G47" i="1"/>
  <c r="D48" i="1"/>
  <c r="E48" i="1"/>
  <c r="F48" i="1"/>
  <c r="G48" i="1"/>
  <c r="D49" i="1"/>
  <c r="E49" i="1"/>
  <c r="F49" i="1"/>
  <c r="G49" i="1"/>
  <c r="D50" i="1"/>
  <c r="E50" i="1"/>
  <c r="F50" i="1"/>
  <c r="G50" i="1"/>
  <c r="C48" i="1"/>
  <c r="C49" i="1"/>
  <c r="C50" i="1"/>
  <c r="C47" i="1"/>
  <c r="D37" i="1"/>
  <c r="E37" i="1"/>
  <c r="F37" i="1"/>
  <c r="G37" i="1"/>
  <c r="D38" i="1"/>
  <c r="E38" i="1"/>
  <c r="F38" i="1"/>
  <c r="G38" i="1"/>
  <c r="D39" i="1"/>
  <c r="E39" i="1"/>
  <c r="F39" i="1"/>
  <c r="G39" i="1"/>
  <c r="D40" i="1"/>
  <c r="E40" i="1"/>
  <c r="F40" i="1"/>
  <c r="G40" i="1"/>
  <c r="C38" i="1"/>
  <c r="C39" i="1"/>
  <c r="C40" i="1"/>
  <c r="C37" i="1"/>
  <c r="F30" i="1"/>
  <c r="G30" i="1"/>
  <c r="D32" i="1"/>
  <c r="E32" i="1"/>
  <c r="D33" i="1"/>
  <c r="E33" i="1"/>
  <c r="F33" i="1"/>
  <c r="G33" i="1"/>
  <c r="C32" i="1"/>
  <c r="C33" i="1"/>
  <c r="D29" i="1"/>
  <c r="D27" i="1" s="1"/>
  <c r="F18" i="29" s="1"/>
  <c r="E29" i="1"/>
  <c r="E27" i="1" s="1"/>
  <c r="G18" i="29" s="1"/>
  <c r="F29" i="1"/>
  <c r="F27" i="1" s="1"/>
  <c r="H18" i="29" s="1"/>
  <c r="G29" i="1"/>
  <c r="C29" i="1"/>
  <c r="C27" i="1" s="1"/>
  <c r="E18" i="29" s="1"/>
  <c r="D28" i="1"/>
  <c r="E28" i="1"/>
  <c r="F28" i="1"/>
  <c r="G28" i="1"/>
  <c r="C28" i="1"/>
  <c r="D10" i="1"/>
  <c r="E10" i="1"/>
  <c r="F10" i="1"/>
  <c r="G10" i="1"/>
  <c r="C10" i="1"/>
  <c r="D24" i="1"/>
  <c r="E24" i="1"/>
  <c r="F24" i="1"/>
  <c r="G24" i="1"/>
  <c r="C24" i="1"/>
  <c r="D17" i="1"/>
  <c r="E17" i="1"/>
  <c r="F17" i="1"/>
  <c r="G17" i="1"/>
  <c r="C17" i="1"/>
  <c r="D13" i="1"/>
  <c r="E13" i="1"/>
  <c r="F13" i="1"/>
  <c r="G13" i="1"/>
  <c r="D14" i="1"/>
  <c r="E14" i="1"/>
  <c r="F14" i="1"/>
  <c r="G14" i="1"/>
  <c r="E10" i="29"/>
  <c r="C14" i="1"/>
  <c r="N37" i="29"/>
  <c r="D178" i="1" s="1"/>
  <c r="O37" i="29"/>
  <c r="E178" i="1" s="1"/>
  <c r="P37" i="29"/>
  <c r="F178" i="1" s="1"/>
  <c r="Q37" i="29"/>
  <c r="G178" i="1" s="1"/>
  <c r="M37" i="29"/>
  <c r="C178" i="1" s="1"/>
  <c r="P17" i="29"/>
  <c r="F155" i="1" s="1"/>
  <c r="N17" i="29"/>
  <c r="D155" i="1" s="1"/>
  <c r="N7" i="29"/>
  <c r="D140" i="1" s="1"/>
  <c r="O7" i="29"/>
  <c r="E140" i="1" s="1"/>
  <c r="P7" i="29"/>
  <c r="F140" i="1" s="1"/>
  <c r="Q7" i="29"/>
  <c r="G140" i="1" s="1"/>
  <c r="N9" i="29"/>
  <c r="D143" i="1" s="1"/>
  <c r="O9" i="29"/>
  <c r="P9" i="29"/>
  <c r="F143" i="1" s="1"/>
  <c r="Q9" i="29"/>
  <c r="G143" i="1" s="1"/>
  <c r="M9" i="29"/>
  <c r="C143" i="1" s="1"/>
  <c r="F48" i="29"/>
  <c r="D75" i="1" s="1"/>
  <c r="G48" i="29"/>
  <c r="E75" i="1" s="1"/>
  <c r="H48" i="29"/>
  <c r="F75" i="1" s="1"/>
  <c r="I48" i="29"/>
  <c r="G75" i="1" s="1"/>
  <c r="F49" i="29"/>
  <c r="D76" i="1" s="1"/>
  <c r="G49" i="29"/>
  <c r="E76" i="1" s="1"/>
  <c r="H49" i="29"/>
  <c r="F76" i="1" s="1"/>
  <c r="I49" i="29"/>
  <c r="G76" i="1" s="1"/>
  <c r="F51" i="29"/>
  <c r="D79" i="1" s="1"/>
  <c r="G51" i="29"/>
  <c r="E79" i="1" s="1"/>
  <c r="H51" i="29"/>
  <c r="F79" i="1" s="1"/>
  <c r="I51" i="29"/>
  <c r="G79" i="1" s="1"/>
  <c r="E49" i="29"/>
  <c r="C76" i="1" s="1"/>
  <c r="E51" i="29"/>
  <c r="C79" i="1" s="1"/>
  <c r="F13" i="29"/>
  <c r="F55" i="29" s="1"/>
  <c r="G13" i="29"/>
  <c r="F14" i="29"/>
  <c r="G14" i="29"/>
  <c r="H14" i="29"/>
  <c r="H56" i="29" s="1"/>
  <c r="I14" i="29"/>
  <c r="I56" i="29" s="1"/>
  <c r="E14" i="29"/>
  <c r="E56" i="29" s="1"/>
  <c r="E13" i="29"/>
  <c r="H11" i="29"/>
  <c r="H53" i="29" s="1"/>
  <c r="I11" i="29"/>
  <c r="I53" i="29" s="1"/>
  <c r="F8" i="29"/>
  <c r="F10" i="29" s="1"/>
  <c r="G8" i="29"/>
  <c r="G10" i="29" s="1"/>
  <c r="H8" i="29"/>
  <c r="H10" i="29" s="1"/>
  <c r="I8" i="29"/>
  <c r="I10" i="29" s="1"/>
  <c r="M7" i="29"/>
  <c r="C140" i="1" s="1"/>
  <c r="F81" i="29"/>
  <c r="G81" i="29"/>
  <c r="H81" i="29"/>
  <c r="F116" i="1" s="1"/>
  <c r="I81" i="29"/>
  <c r="G116" i="1" s="1"/>
  <c r="F82" i="29"/>
  <c r="D117" i="1" s="1"/>
  <c r="D122" i="1" s="1"/>
  <c r="G82" i="29"/>
  <c r="E117" i="1" s="1"/>
  <c r="E122" i="1" s="1"/>
  <c r="H82" i="29"/>
  <c r="F117" i="1" s="1"/>
  <c r="I82" i="29"/>
  <c r="G117" i="1" s="1"/>
  <c r="F83" i="29"/>
  <c r="D118" i="1" s="1"/>
  <c r="D123" i="1" s="1"/>
  <c r="G83" i="29"/>
  <c r="E118" i="1" s="1"/>
  <c r="E123" i="1" s="1"/>
  <c r="H83" i="29"/>
  <c r="F118" i="1" s="1"/>
  <c r="I83" i="29"/>
  <c r="G118" i="1" s="1"/>
  <c r="E82" i="29"/>
  <c r="C117" i="1" s="1"/>
  <c r="C122" i="1" s="1"/>
  <c r="E83" i="29"/>
  <c r="C118" i="1" s="1"/>
  <c r="C123" i="1" s="1"/>
  <c r="E81" i="29"/>
  <c r="C116" i="1" s="1"/>
  <c r="C120" i="1" s="1"/>
  <c r="F74" i="29"/>
  <c r="D109" i="1" s="1"/>
  <c r="G74" i="29"/>
  <c r="E109" i="1" s="1"/>
  <c r="H74" i="29"/>
  <c r="F109" i="1" s="1"/>
  <c r="I74" i="29"/>
  <c r="G109" i="1" s="1"/>
  <c r="F75" i="29"/>
  <c r="D110" i="1" s="1"/>
  <c r="G75" i="29"/>
  <c r="E110" i="1" s="1"/>
  <c r="H75" i="29"/>
  <c r="F110" i="1" s="1"/>
  <c r="I75" i="29"/>
  <c r="G110" i="1" s="1"/>
  <c r="F76" i="29"/>
  <c r="D111" i="1" s="1"/>
  <c r="G76" i="29"/>
  <c r="E111" i="1" s="1"/>
  <c r="H76" i="29"/>
  <c r="F111" i="1" s="1"/>
  <c r="I76" i="29"/>
  <c r="G111" i="1" s="1"/>
  <c r="F77" i="29"/>
  <c r="D112" i="1" s="1"/>
  <c r="G77" i="29"/>
  <c r="E112" i="1" s="1"/>
  <c r="H77" i="29"/>
  <c r="F112" i="1" s="1"/>
  <c r="I77" i="29"/>
  <c r="G112" i="1" s="1"/>
  <c r="F79" i="29"/>
  <c r="D114" i="1" s="1"/>
  <c r="G79" i="29"/>
  <c r="E114" i="1" s="1"/>
  <c r="H79" i="29"/>
  <c r="F114" i="1" s="1"/>
  <c r="I79" i="29"/>
  <c r="G114" i="1" s="1"/>
  <c r="E75" i="29"/>
  <c r="C110" i="1" s="1"/>
  <c r="E76" i="29"/>
  <c r="C111" i="1" s="1"/>
  <c r="E77" i="29"/>
  <c r="C112" i="1" s="1"/>
  <c r="E79" i="29"/>
  <c r="C114" i="1" s="1"/>
  <c r="E74" i="29"/>
  <c r="C109" i="1" s="1"/>
  <c r="E48" i="29"/>
  <c r="C75" i="1" s="1"/>
  <c r="E70" i="29"/>
  <c r="C100" i="1" s="1"/>
  <c r="F70" i="29"/>
  <c r="D100" i="1" s="1"/>
  <c r="G70" i="29"/>
  <c r="E100" i="1" s="1"/>
  <c r="H70" i="29"/>
  <c r="F100" i="1" s="1"/>
  <c r="I70" i="29"/>
  <c r="G100" i="1" s="1"/>
  <c r="E71" i="29"/>
  <c r="C101" i="1" s="1"/>
  <c r="F71" i="29"/>
  <c r="D101" i="1" s="1"/>
  <c r="G71" i="29"/>
  <c r="E101" i="1" s="1"/>
  <c r="H71" i="29"/>
  <c r="F101" i="1" s="1"/>
  <c r="I71" i="29"/>
  <c r="G101" i="1" s="1"/>
  <c r="E72" i="29"/>
  <c r="C102" i="1" s="1"/>
  <c r="F72" i="29"/>
  <c r="D102" i="1" s="1"/>
  <c r="G72" i="29"/>
  <c r="E102" i="1" s="1"/>
  <c r="H72" i="29"/>
  <c r="F102" i="1" s="1"/>
  <c r="I72" i="29"/>
  <c r="G102" i="1" s="1"/>
  <c r="F69" i="29"/>
  <c r="D99" i="1" s="1"/>
  <c r="G69" i="29"/>
  <c r="E99" i="1" s="1"/>
  <c r="H69" i="29"/>
  <c r="F99" i="1" s="1"/>
  <c r="I69" i="29"/>
  <c r="G99" i="1" s="1"/>
  <c r="E69" i="29"/>
  <c r="C99" i="1" s="1"/>
  <c r="I66" i="29"/>
  <c r="G95" i="1" s="1"/>
  <c r="H66" i="29"/>
  <c r="F95" i="1" s="1"/>
  <c r="G66" i="29"/>
  <c r="E95" i="1" s="1"/>
  <c r="F66" i="29"/>
  <c r="D95" i="1" s="1"/>
  <c r="E66" i="29"/>
  <c r="C95" i="1" s="1"/>
  <c r="G65" i="29"/>
  <c r="E94" i="1" s="1"/>
  <c r="F65" i="29"/>
  <c r="D94" i="1" s="1"/>
  <c r="E65" i="29"/>
  <c r="C94" i="1" s="1"/>
  <c r="I63" i="29"/>
  <c r="G92" i="1" s="1"/>
  <c r="H63" i="29"/>
  <c r="F92" i="1" s="1"/>
  <c r="F59" i="29"/>
  <c r="D91" i="1" s="1"/>
  <c r="G59" i="29"/>
  <c r="E91" i="1" s="1"/>
  <c r="H59" i="29"/>
  <c r="F91" i="1" s="1"/>
  <c r="I59" i="29"/>
  <c r="G91" i="1" s="1"/>
  <c r="E59" i="29"/>
  <c r="C91" i="1" s="1"/>
  <c r="F58" i="29"/>
  <c r="D86" i="1" s="1"/>
  <c r="G58" i="29"/>
  <c r="E86" i="1" s="1"/>
  <c r="H58" i="29"/>
  <c r="F86" i="1" s="1"/>
  <c r="I58" i="29"/>
  <c r="G86" i="1" s="1"/>
  <c r="F61" i="29"/>
  <c r="D90" i="1" s="1"/>
  <c r="G61" i="29"/>
  <c r="E90" i="1" s="1"/>
  <c r="H61" i="29"/>
  <c r="F90" i="1" s="1"/>
  <c r="I61" i="29"/>
  <c r="G90" i="1" s="1"/>
  <c r="E61" i="29"/>
  <c r="C90" i="1" s="1"/>
  <c r="E58" i="29"/>
  <c r="C86" i="1" s="1"/>
  <c r="E47" i="29"/>
  <c r="C72" i="1" s="1"/>
  <c r="F47" i="29"/>
  <c r="D72" i="1" s="1"/>
  <c r="G47" i="29"/>
  <c r="E72" i="1" s="1"/>
  <c r="H47" i="29"/>
  <c r="F72" i="1" s="1"/>
  <c r="I47" i="29"/>
  <c r="G72" i="1" s="1"/>
  <c r="N5" i="29"/>
  <c r="D136" i="1" s="1"/>
  <c r="O5" i="29"/>
  <c r="E136" i="1" s="1"/>
  <c r="P5" i="29"/>
  <c r="F136" i="1" s="1"/>
  <c r="Q5" i="29"/>
  <c r="G136" i="1" s="1"/>
  <c r="M5" i="29"/>
  <c r="N30" i="29"/>
  <c r="D166" i="1" s="1"/>
  <c r="O30" i="29"/>
  <c r="Q22" i="29"/>
  <c r="Q23" i="29" s="1"/>
  <c r="G158" i="1" s="1"/>
  <c r="O22" i="29"/>
  <c r="O21" i="29" s="1"/>
  <c r="E156" i="1" s="1"/>
  <c r="N22" i="29"/>
  <c r="D157" i="1" s="1"/>
  <c r="M22" i="29"/>
  <c r="M21" i="29" s="1"/>
  <c r="C156" i="1" s="1"/>
  <c r="H22" i="29"/>
  <c r="H64" i="29" s="1"/>
  <c r="F93" i="1" s="1"/>
  <c r="F22" i="29"/>
  <c r="F21" i="29" s="1"/>
  <c r="F63" i="29" s="1"/>
  <c r="D92" i="1" s="1"/>
  <c r="G22" i="29"/>
  <c r="G21" i="29" s="1"/>
  <c r="G63" i="29" s="1"/>
  <c r="E92" i="1" s="1"/>
  <c r="I22" i="29"/>
  <c r="I64" i="29" s="1"/>
  <c r="G93" i="1" s="1"/>
  <c r="E22" i="29"/>
  <c r="E21" i="29" s="1"/>
  <c r="E63" i="29" s="1"/>
  <c r="C92" i="1" s="1"/>
  <c r="E166" i="1" l="1"/>
  <c r="K71" i="8"/>
  <c r="E11" i="8"/>
  <c r="G77" i="1"/>
  <c r="C148" i="1"/>
  <c r="C145" i="1"/>
  <c r="C147" i="1"/>
  <c r="G147" i="1"/>
  <c r="G148" i="1"/>
  <c r="G145" i="1"/>
  <c r="F148" i="1"/>
  <c r="F145" i="1"/>
  <c r="D147" i="1"/>
  <c r="D148" i="1"/>
  <c r="E157" i="1"/>
  <c r="C169" i="1"/>
  <c r="C136" i="1"/>
  <c r="C157" i="1"/>
  <c r="D169" i="1"/>
  <c r="D171" i="1"/>
  <c r="G157" i="1"/>
  <c r="D170" i="1"/>
  <c r="C168" i="1"/>
  <c r="C171" i="1"/>
  <c r="C170" i="1"/>
  <c r="D172" i="1"/>
  <c r="C172" i="1"/>
  <c r="D168" i="1"/>
  <c r="E172" i="1"/>
  <c r="D44" i="1"/>
  <c r="M13" i="29"/>
  <c r="M14" i="29"/>
  <c r="O11" i="29"/>
  <c r="Q8" i="29"/>
  <c r="Q10" i="29" s="1"/>
  <c r="D31" i="1"/>
  <c r="Q14" i="29"/>
  <c r="N14" i="29"/>
  <c r="O13" i="29"/>
  <c r="Q11" i="29"/>
  <c r="E15" i="29"/>
  <c r="C23" i="1" s="1"/>
  <c r="G137" i="1"/>
  <c r="G141" i="1" s="1"/>
  <c r="P11" i="29"/>
  <c r="M11" i="29"/>
  <c r="Q13" i="29"/>
  <c r="P8" i="29"/>
  <c r="P10" i="29" s="1"/>
  <c r="E143" i="1"/>
  <c r="E171" i="1" s="1"/>
  <c r="O14" i="29"/>
  <c r="D137" i="1"/>
  <c r="D141" i="1" s="1"/>
  <c r="M8" i="29"/>
  <c r="M15" i="29" s="1"/>
  <c r="Q15" i="29"/>
  <c r="F137" i="1"/>
  <c r="F141" i="1" s="1"/>
  <c r="O8" i="29"/>
  <c r="O15" i="29" s="1"/>
  <c r="N8" i="29"/>
  <c r="N13" i="29"/>
  <c r="C137" i="1"/>
  <c r="C141" i="1" s="1"/>
  <c r="C81" i="1"/>
  <c r="E137" i="1"/>
  <c r="E141" i="1" s="1"/>
  <c r="P14" i="29"/>
  <c r="C15" i="1"/>
  <c r="C18" i="1" s="1"/>
  <c r="F84" i="1"/>
  <c r="C45" i="1"/>
  <c r="I52" i="29"/>
  <c r="H52" i="29"/>
  <c r="E52" i="29"/>
  <c r="F77" i="1"/>
  <c r="F80" i="1" s="1"/>
  <c r="C84" i="1"/>
  <c r="C83" i="1"/>
  <c r="E84" i="1"/>
  <c r="E83" i="1"/>
  <c r="E77" i="1"/>
  <c r="E80" i="1" s="1"/>
  <c r="C73" i="1"/>
  <c r="D83" i="1"/>
  <c r="D84" i="1"/>
  <c r="G84" i="1"/>
  <c r="G80" i="1"/>
  <c r="D77" i="1"/>
  <c r="D80" i="1" s="1"/>
  <c r="I15" i="29"/>
  <c r="G23" i="1" s="1"/>
  <c r="H15" i="29"/>
  <c r="F23" i="1" s="1"/>
  <c r="F81" i="1"/>
  <c r="G15" i="29"/>
  <c r="F15" i="29"/>
  <c r="D23" i="1" s="1"/>
  <c r="E30" i="1"/>
  <c r="E44" i="1"/>
  <c r="C31" i="1"/>
  <c r="D30" i="1"/>
  <c r="G31" i="1"/>
  <c r="F31" i="1"/>
  <c r="E31" i="1"/>
  <c r="C30" i="1"/>
  <c r="C19" i="1" s="1"/>
  <c r="G27" i="1"/>
  <c r="I18" i="29" s="1"/>
  <c r="D45" i="1"/>
  <c r="E45" i="1"/>
  <c r="N21" i="29"/>
  <c r="G15" i="1"/>
  <c r="G18" i="1" s="1"/>
  <c r="F15" i="1"/>
  <c r="F18" i="1" s="1"/>
  <c r="E15" i="1"/>
  <c r="E18" i="1" s="1"/>
  <c r="D15" i="1"/>
  <c r="D18" i="1" s="1"/>
  <c r="E22" i="1"/>
  <c r="G12" i="29"/>
  <c r="D22" i="1"/>
  <c r="G56" i="29"/>
  <c r="F56" i="29"/>
  <c r="E42" i="1"/>
  <c r="G52" i="29"/>
  <c r="E21" i="1"/>
  <c r="C42" i="1"/>
  <c r="F22" i="1"/>
  <c r="E43" i="1"/>
  <c r="F52" i="29"/>
  <c r="D21" i="1"/>
  <c r="I50" i="29"/>
  <c r="I57" i="29" s="1"/>
  <c r="G85" i="1" s="1"/>
  <c r="C21" i="1"/>
  <c r="C61" i="1" s="1"/>
  <c r="H50" i="29"/>
  <c r="H57" i="29" s="1"/>
  <c r="F85" i="1" s="1"/>
  <c r="C22" i="1"/>
  <c r="C60" i="1" s="1"/>
  <c r="G22" i="1"/>
  <c r="E55" i="29"/>
  <c r="C43" i="1"/>
  <c r="C11" i="1"/>
  <c r="D42" i="1"/>
  <c r="D43" i="1"/>
  <c r="C44" i="1"/>
  <c r="D11" i="1"/>
  <c r="E11" i="1"/>
  <c r="G11" i="1"/>
  <c r="F11" i="1"/>
  <c r="P22" i="29"/>
  <c r="G55" i="29"/>
  <c r="G50" i="29"/>
  <c r="G57" i="29" s="1"/>
  <c r="E85" i="1" s="1"/>
  <c r="F50" i="29"/>
  <c r="F57" i="29" s="1"/>
  <c r="D85" i="1" s="1"/>
  <c r="E50" i="29"/>
  <c r="E57" i="29" s="1"/>
  <c r="C85" i="1" s="1"/>
  <c r="F12" i="29"/>
  <c r="F11" i="29"/>
  <c r="G11" i="29"/>
  <c r="E12" i="29"/>
  <c r="E64" i="29"/>
  <c r="C93" i="1" s="1"/>
  <c r="F64" i="29"/>
  <c r="D93" i="1" s="1"/>
  <c r="G64" i="29"/>
  <c r="E93" i="1" s="1"/>
  <c r="C6" i="31" l="1"/>
  <c r="E12" i="8"/>
  <c r="O10" i="29"/>
  <c r="D167" i="1"/>
  <c r="E147" i="1"/>
  <c r="E148" i="1"/>
  <c r="C167" i="1"/>
  <c r="E145" i="1"/>
  <c r="N11" i="29"/>
  <c r="D156" i="1"/>
  <c r="D145" i="1" s="1"/>
  <c r="P23" i="29"/>
  <c r="F157" i="1"/>
  <c r="E168" i="1"/>
  <c r="E169" i="1"/>
  <c r="E170" i="1"/>
  <c r="M10" i="29"/>
  <c r="M12" i="29"/>
  <c r="C82" i="1"/>
  <c r="P15" i="29"/>
  <c r="N15" i="29"/>
  <c r="N10" i="29"/>
  <c r="C144" i="1"/>
  <c r="G54" i="29"/>
  <c r="O12" i="29"/>
  <c r="F54" i="29"/>
  <c r="N12" i="29"/>
  <c r="E54" i="29"/>
  <c r="C20" i="1"/>
  <c r="E53" i="29"/>
  <c r="F53" i="29"/>
  <c r="G53" i="29"/>
  <c r="E20" i="1"/>
  <c r="E59" i="1"/>
  <c r="E57" i="1" s="1"/>
  <c r="D59" i="1"/>
  <c r="D20" i="1"/>
  <c r="C8" i="31" l="1"/>
  <c r="C12" i="31" s="1"/>
  <c r="P13" i="29"/>
  <c r="F158" i="1"/>
  <c r="F147" i="1" s="1"/>
  <c r="E167" i="1"/>
  <c r="C59" i="1"/>
  <c r="C18" i="31" l="1"/>
  <c r="C23" i="31" s="1"/>
  <c r="C17" i="31"/>
  <c r="C22" i="31" s="1"/>
  <c r="C16" i="31"/>
  <c r="C19" i="31" s="1"/>
  <c r="D12" i="1" s="1"/>
  <c r="K100" i="8"/>
  <c r="K96" i="8"/>
  <c r="K36" i="12"/>
  <c r="K35" i="12"/>
  <c r="K34" i="12"/>
  <c r="K52" i="8"/>
  <c r="N58" i="11"/>
  <c r="D51" i="11"/>
  <c r="E51" i="11"/>
  <c r="F51" i="11"/>
  <c r="G51" i="11"/>
  <c r="B8" i="28"/>
  <c r="G8" i="27"/>
  <c r="F8" i="27"/>
  <c r="E8" i="27"/>
  <c r="D8" i="27"/>
  <c r="C8" i="27"/>
  <c r="AH29" i="26"/>
  <c r="Z29" i="26"/>
  <c r="R29" i="26"/>
  <c r="C16" i="22"/>
  <c r="C19" i="22"/>
  <c r="J20" i="28"/>
  <c r="C12" i="22"/>
  <c r="C11" i="22"/>
  <c r="C5" i="28"/>
  <c r="B2" i="28"/>
  <c r="E138" i="1" l="1"/>
  <c r="F138" i="1"/>
  <c r="D74" i="1"/>
  <c r="E12" i="1"/>
  <c r="G74" i="1"/>
  <c r="C138" i="1"/>
  <c r="C12" i="1"/>
  <c r="F12" i="1"/>
  <c r="D138" i="1"/>
  <c r="G138" i="1"/>
  <c r="G12" i="1"/>
  <c r="C21" i="31"/>
  <c r="K30" i="28" s="1"/>
  <c r="C74" i="1"/>
  <c r="E74" i="1"/>
  <c r="F74" i="1"/>
  <c r="B41" i="28"/>
  <c r="C20" i="28"/>
  <c r="B44" i="28"/>
  <c r="C17" i="28"/>
  <c r="B40" i="28"/>
  <c r="B12" i="28" a="1"/>
  <c r="B12" i="28" s="1"/>
  <c r="B10" i="28" a="1"/>
  <c r="B10" i="28" s="1"/>
  <c r="D31" i="28"/>
  <c r="C32" i="28"/>
  <c r="B9" i="28" a="1"/>
  <c r="B9" i="28" s="1"/>
  <c r="C31" i="28"/>
  <c r="B7" i="28" a="1"/>
  <c r="B7" i="28" s="1"/>
  <c r="C26" i="28"/>
  <c r="C18" i="28"/>
  <c r="C19" i="28"/>
  <c r="C25" i="28"/>
  <c r="B5" i="28" a="1"/>
  <c r="B5" i="28" s="1"/>
  <c r="B6" i="28" s="1" a="1"/>
  <c r="B6" i="28" s="1"/>
  <c r="C24" i="28"/>
  <c r="C23" i="28"/>
  <c r="D17" i="28"/>
  <c r="E38" i="28"/>
  <c r="J13" i="28" a="1"/>
  <c r="J13" i="28" s="1"/>
  <c r="P19" i="28"/>
  <c r="R19" i="28"/>
  <c r="J22" i="28" a="1"/>
  <c r="J22" i="28" s="1"/>
  <c r="J10" i="28" a="1"/>
  <c r="J10" i="28" s="1"/>
  <c r="E42" i="28"/>
  <c r="K45" i="28" a="1"/>
  <c r="K45" i="28" s="1"/>
  <c r="C27" i="38" s="1"/>
  <c r="D18" i="28"/>
  <c r="J28" i="28" a="1"/>
  <c r="J28" i="28" s="1"/>
  <c r="J23" i="28" a="1"/>
  <c r="J23" i="28" s="1"/>
  <c r="R22" i="28" s="1"/>
  <c r="J11" i="28" a="1"/>
  <c r="J11" i="28" s="1"/>
  <c r="E43" i="28"/>
  <c r="J26" i="28" a="1"/>
  <c r="J26" i="28" s="1"/>
  <c r="E45" i="28"/>
  <c r="J25" i="28" a="1"/>
  <c r="J25" i="28" s="1"/>
  <c r="J15" i="28" a="1"/>
  <c r="J15" i="28" s="1"/>
  <c r="C25" i="38" s="1"/>
  <c r="K52" i="28"/>
  <c r="J31" i="28" a="1"/>
  <c r="J31" i="28" s="1"/>
  <c r="J32" i="28" a="1"/>
  <c r="J32" i="28" s="1"/>
  <c r="D20" i="28"/>
  <c r="D19" i="28"/>
  <c r="J12" i="28" a="1"/>
  <c r="J12" i="28" s="1"/>
  <c r="E39" i="28"/>
  <c r="E46" i="28"/>
  <c r="J29" i="28" a="1"/>
  <c r="J29" i="28" s="1"/>
  <c r="J19" i="28" a="1"/>
  <c r="J19" i="28" s="1"/>
  <c r="J38" i="28"/>
  <c r="D33" i="28" a="1"/>
  <c r="D33" i="28" s="1"/>
  <c r="K57" i="28" a="1"/>
  <c r="K57" i="28" s="1"/>
  <c r="D32" i="28"/>
  <c r="K88" i="8" l="1"/>
  <c r="K30" i="7"/>
  <c r="K30" i="12"/>
  <c r="H43" i="8"/>
  <c r="H44" i="8" s="1"/>
  <c r="K43" i="8"/>
  <c r="K44" i="8" s="1"/>
  <c r="E43" i="8"/>
  <c r="E44" i="8" s="1"/>
  <c r="L35" i="28"/>
  <c r="L36" i="28"/>
  <c r="C34" i="28"/>
  <c r="L45" i="28"/>
  <c r="F45" i="28"/>
  <c r="G45" i="28" s="1"/>
  <c r="K29" i="28"/>
  <c r="E17" i="28"/>
  <c r="P30" i="28"/>
  <c r="K38" i="28"/>
  <c r="L38" i="28" s="1"/>
  <c r="K19" i="28"/>
  <c r="P29" i="28"/>
  <c r="F31" i="28"/>
  <c r="K26" i="28"/>
  <c r="R24" i="28"/>
  <c r="S24" i="28" s="1"/>
  <c r="K25" i="28"/>
  <c r="R27" i="28"/>
  <c r="K28" i="28"/>
  <c r="P21" i="28"/>
  <c r="K22" i="28"/>
  <c r="C46" i="1"/>
  <c r="C41" i="1"/>
  <c r="C36" i="1" s="1"/>
  <c r="C58" i="1" s="1"/>
  <c r="E20" i="28"/>
  <c r="E18" i="28"/>
  <c r="R30" i="28"/>
  <c r="P22" i="28"/>
  <c r="R29" i="28"/>
  <c r="P27" i="28"/>
  <c r="P24" i="28"/>
  <c r="Q24" i="28" s="1"/>
  <c r="R21" i="28"/>
  <c r="P25" i="28"/>
  <c r="Q25" i="28" s="1"/>
  <c r="R25" i="28"/>
  <c r="S25" i="28" s="1"/>
  <c r="E19" i="28"/>
  <c r="K53" i="28"/>
  <c r="L52" i="28"/>
  <c r="L53" i="28" s="1"/>
  <c r="J52" i="28"/>
  <c r="J53" i="28" s="1"/>
  <c r="J45" i="28"/>
  <c r="R18" i="28"/>
  <c r="P18" i="28"/>
  <c r="F33" i="28"/>
  <c r="G33" i="28" s="1"/>
  <c r="P28" i="28"/>
  <c r="R28" i="28"/>
  <c r="K20" i="28" l="1"/>
  <c r="S34" i="28"/>
  <c r="C57" i="1"/>
  <c r="Q34" i="28"/>
  <c r="J57" i="28"/>
  <c r="L57" i="28"/>
  <c r="C63" i="1" l="1"/>
  <c r="C67" i="1" s="1"/>
  <c r="C34" i="1" s="1"/>
  <c r="G73" i="1"/>
  <c r="E14" i="14"/>
  <c r="C16" i="1" l="1"/>
  <c r="D124" i="1"/>
  <c r="E124" i="1"/>
  <c r="F124" i="1"/>
  <c r="G124" i="1"/>
  <c r="C124" i="1"/>
  <c r="G11" i="27" l="1"/>
  <c r="G10" i="27"/>
  <c r="F11" i="27"/>
  <c r="F10" i="27"/>
  <c r="E11" i="27"/>
  <c r="E10" i="27"/>
  <c r="D11" i="27"/>
  <c r="D10" i="27"/>
  <c r="C11" i="27"/>
  <c r="C10" i="27"/>
  <c r="D6" i="27"/>
  <c r="E6" i="27"/>
  <c r="F6" i="27"/>
  <c r="G6" i="27"/>
  <c r="C6" i="27"/>
  <c r="E54" i="25"/>
  <c r="F54" i="25"/>
  <c r="G54" i="25"/>
  <c r="H54" i="25"/>
  <c r="E55" i="25"/>
  <c r="F55" i="25"/>
  <c r="G55" i="25"/>
  <c r="H55" i="25"/>
  <c r="D55" i="25"/>
  <c r="D54" i="25"/>
  <c r="E53" i="25"/>
  <c r="F53" i="25"/>
  <c r="G53" i="25"/>
  <c r="H53" i="25"/>
  <c r="D53" i="25"/>
  <c r="F44" i="26"/>
  <c r="F43" i="26"/>
  <c r="I42" i="26"/>
  <c r="N44" i="26"/>
  <c r="N43" i="26"/>
  <c r="N42" i="26"/>
  <c r="V44" i="26"/>
  <c r="V43" i="26"/>
  <c r="V42" i="26"/>
  <c r="W42" i="26" s="1"/>
  <c r="AD44" i="26"/>
  <c r="AD43" i="26"/>
  <c r="AD42" i="26"/>
  <c r="AL44" i="26"/>
  <c r="AL43" i="26"/>
  <c r="AL42" i="26"/>
  <c r="B44" i="26"/>
  <c r="B43" i="26"/>
  <c r="B42" i="26"/>
  <c r="J44" i="26"/>
  <c r="J43" i="26"/>
  <c r="J42" i="26"/>
  <c r="R44" i="26"/>
  <c r="R43" i="26"/>
  <c r="R42" i="26"/>
  <c r="Z44" i="26"/>
  <c r="Z43" i="26"/>
  <c r="Z42" i="26"/>
  <c r="AH44" i="26"/>
  <c r="AH43" i="26"/>
  <c r="AH42" i="26"/>
  <c r="D11" i="22"/>
  <c r="AO42" i="26" l="1"/>
  <c r="AN42" i="26"/>
  <c r="AM42" i="26"/>
  <c r="AN43" i="26"/>
  <c r="AM43" i="26"/>
  <c r="AN44" i="26"/>
  <c r="AM44" i="26"/>
  <c r="AG43" i="26"/>
  <c r="AE43" i="26"/>
  <c r="AF43" i="26"/>
  <c r="AA44" i="26"/>
  <c r="AC44" i="26"/>
  <c r="AB44" i="26"/>
  <c r="AF42" i="26"/>
  <c r="AG42" i="26"/>
  <c r="AE42" i="26"/>
  <c r="AC42" i="26"/>
  <c r="AB42" i="26"/>
  <c r="AA42" i="26"/>
  <c r="AC43" i="26"/>
  <c r="AB43" i="26"/>
  <c r="AA43" i="26"/>
  <c r="AF44" i="26"/>
  <c r="AE44" i="26"/>
  <c r="AG44" i="26"/>
  <c r="P42" i="26"/>
  <c r="Q42" i="26"/>
  <c r="O42" i="26"/>
  <c r="L42" i="26"/>
  <c r="M42" i="26"/>
  <c r="K42" i="26"/>
  <c r="P43" i="26"/>
  <c r="Q43" i="26"/>
  <c r="O43" i="26"/>
  <c r="K43" i="26"/>
  <c r="M43" i="26"/>
  <c r="L43" i="26"/>
  <c r="O44" i="26"/>
  <c r="P44" i="26"/>
  <c r="Q44" i="26"/>
  <c r="K44" i="26"/>
  <c r="L44" i="26"/>
  <c r="M44" i="26"/>
  <c r="X42" i="26"/>
  <c r="Y42" i="26"/>
  <c r="S42" i="26"/>
  <c r="T42" i="26"/>
  <c r="U42" i="26"/>
  <c r="Y43" i="26"/>
  <c r="W43" i="26"/>
  <c r="X43" i="26"/>
  <c r="Y44" i="26"/>
  <c r="W44" i="26"/>
  <c r="X44" i="26"/>
  <c r="S43" i="26"/>
  <c r="T43" i="26"/>
  <c r="U43" i="26"/>
  <c r="S44" i="26"/>
  <c r="U44" i="26"/>
  <c r="T44" i="26"/>
  <c r="C43" i="26"/>
  <c r="D43" i="26"/>
  <c r="E43" i="26"/>
  <c r="H44" i="26"/>
  <c r="G44" i="26"/>
  <c r="D44" i="26"/>
  <c r="E44" i="26"/>
  <c r="C44" i="26"/>
  <c r="D42" i="26"/>
  <c r="E42" i="26"/>
  <c r="C42" i="26"/>
  <c r="H43" i="26"/>
  <c r="G43" i="26"/>
  <c r="S21" i="28"/>
  <c r="Q21" i="28"/>
  <c r="I43" i="26"/>
  <c r="AO44" i="26"/>
  <c r="H42" i="26"/>
  <c r="I44" i="26"/>
  <c r="AO43" i="26"/>
  <c r="K39" i="8"/>
  <c r="K38" i="8"/>
  <c r="C47" i="26" l="1"/>
  <c r="D45" i="26"/>
  <c r="C45" i="26"/>
  <c r="T46" i="26"/>
  <c r="S46" i="26"/>
  <c r="L47" i="26"/>
  <c r="K47" i="26"/>
  <c r="L45" i="26"/>
  <c r="K45" i="26"/>
  <c r="D47" i="26"/>
  <c r="K46" i="26"/>
  <c r="L46" i="26"/>
  <c r="T45" i="26"/>
  <c r="S45" i="26"/>
  <c r="D46" i="26"/>
  <c r="C46" i="26"/>
  <c r="S47" i="26"/>
  <c r="T47" i="26"/>
  <c r="J33" i="12"/>
  <c r="B8" i="7"/>
  <c r="K26" i="8" l="1"/>
  <c r="E11" i="22" s="1"/>
  <c r="K27" i="8"/>
  <c r="K92" i="8"/>
  <c r="J34" i="11"/>
  <c r="E10" i="24"/>
  <c r="E9" i="24"/>
  <c r="F31" i="11"/>
  <c r="G31" i="11"/>
  <c r="F32" i="11"/>
  <c r="G32" i="11"/>
  <c r="F33" i="11"/>
  <c r="G33" i="11"/>
  <c r="F34" i="11"/>
  <c r="G34" i="11"/>
  <c r="G62" i="16"/>
  <c r="G61" i="16"/>
  <c r="G59" i="16"/>
  <c r="E59" i="16"/>
  <c r="E60" i="16"/>
  <c r="E61" i="16"/>
  <c r="E62" i="16"/>
  <c r="E58" i="16"/>
  <c r="D62" i="16"/>
  <c r="F62" i="16"/>
  <c r="D61" i="16"/>
  <c r="F61" i="16"/>
  <c r="D59" i="16"/>
  <c r="D60" i="16"/>
  <c r="F59" i="16"/>
  <c r="F60" i="16"/>
  <c r="F58" i="16"/>
  <c r="D58" i="16"/>
  <c r="K26" i="16"/>
  <c r="E25" i="16"/>
  <c r="F25" i="16"/>
  <c r="J25" i="16"/>
  <c r="K25" i="16"/>
  <c r="D25" i="16"/>
  <c r="E24" i="16"/>
  <c r="F24" i="16"/>
  <c r="J24" i="16"/>
  <c r="K24" i="16"/>
  <c r="D24" i="16"/>
  <c r="G51" i="16"/>
  <c r="G50" i="16"/>
  <c r="G49" i="16"/>
  <c r="G47" i="16"/>
  <c r="G46" i="16"/>
  <c r="G45" i="16"/>
  <c r="G44" i="16"/>
  <c r="G42" i="16"/>
  <c r="G41" i="16"/>
  <c r="G40" i="16"/>
  <c r="G39" i="16"/>
  <c r="G38" i="16"/>
  <c r="G37" i="16"/>
  <c r="G36" i="16"/>
  <c r="G35" i="16"/>
  <c r="G34" i="16"/>
  <c r="G33" i="16"/>
  <c r="G32" i="16"/>
  <c r="G31" i="16"/>
  <c r="L51" i="16"/>
  <c r="L50" i="16"/>
  <c r="L49" i="16"/>
  <c r="L47" i="16"/>
  <c r="L46" i="16"/>
  <c r="L45" i="16"/>
  <c r="L44" i="16"/>
  <c r="L42" i="16"/>
  <c r="L41" i="16"/>
  <c r="L40" i="16"/>
  <c r="L39" i="16"/>
  <c r="L38" i="16"/>
  <c r="L37" i="16"/>
  <c r="L36" i="16"/>
  <c r="L35" i="16"/>
  <c r="L34" i="16"/>
  <c r="L33" i="16"/>
  <c r="L32" i="16"/>
  <c r="L31" i="16"/>
  <c r="L26" i="16"/>
  <c r="L25" i="16"/>
  <c r="L24" i="16"/>
  <c r="L22" i="16"/>
  <c r="L21" i="16"/>
  <c r="L20" i="16"/>
  <c r="L19" i="16"/>
  <c r="L17" i="16"/>
  <c r="L16" i="16"/>
  <c r="L15" i="16"/>
  <c r="L14" i="16"/>
  <c r="L13" i="16"/>
  <c r="L12" i="16"/>
  <c r="L11" i="16"/>
  <c r="L10" i="16"/>
  <c r="L9" i="16"/>
  <c r="L8" i="16"/>
  <c r="L7" i="16"/>
  <c r="L6" i="16"/>
  <c r="K17" i="16"/>
  <c r="J17" i="16"/>
  <c r="J19" i="16"/>
  <c r="K19" i="16"/>
  <c r="J20" i="16"/>
  <c r="K20" i="16"/>
  <c r="J21" i="16"/>
  <c r="K21" i="16"/>
  <c r="J22" i="16"/>
  <c r="K22" i="16"/>
  <c r="J50" i="16"/>
  <c r="J49" i="16"/>
  <c r="J40" i="16"/>
  <c r="K51" i="16"/>
  <c r="K50" i="16"/>
  <c r="K40" i="16"/>
  <c r="E40" i="16"/>
  <c r="F40" i="16"/>
  <c r="E50" i="16"/>
  <c r="F50" i="16"/>
  <c r="E51" i="16"/>
  <c r="F51" i="16"/>
  <c r="E7" i="16"/>
  <c r="F7" i="16"/>
  <c r="J7" i="16"/>
  <c r="K7" i="16"/>
  <c r="E15" i="16"/>
  <c r="F15" i="16"/>
  <c r="J15" i="16"/>
  <c r="K15" i="16"/>
  <c r="E26" i="16"/>
  <c r="F26" i="16"/>
  <c r="D26" i="16"/>
  <c r="D51" i="16"/>
  <c r="D50" i="16"/>
  <c r="D40" i="16"/>
  <c r="E88" i="25"/>
  <c r="F88" i="25"/>
  <c r="G88" i="25"/>
  <c r="H88" i="25"/>
  <c r="D88" i="25"/>
  <c r="D79" i="25"/>
  <c r="E79" i="25"/>
  <c r="F79" i="25"/>
  <c r="G79" i="25"/>
  <c r="H79" i="25"/>
  <c r="I79" i="25"/>
  <c r="D80" i="25"/>
  <c r="E80" i="25"/>
  <c r="F80" i="25"/>
  <c r="G80" i="25"/>
  <c r="H80" i="25"/>
  <c r="I80" i="25"/>
  <c r="D81" i="25"/>
  <c r="E81" i="25"/>
  <c r="F81" i="25"/>
  <c r="G81" i="25"/>
  <c r="H81" i="25"/>
  <c r="I81" i="25"/>
  <c r="D83" i="25"/>
  <c r="E83" i="25"/>
  <c r="F83" i="25"/>
  <c r="G83" i="25"/>
  <c r="H83" i="25"/>
  <c r="I83" i="25"/>
  <c r="D84" i="25"/>
  <c r="E84" i="25"/>
  <c r="F84" i="25"/>
  <c r="G84" i="25"/>
  <c r="H84" i="25"/>
  <c r="I84" i="25"/>
  <c r="D85" i="25"/>
  <c r="E85" i="25"/>
  <c r="F85" i="25"/>
  <c r="G85" i="25"/>
  <c r="H85" i="25"/>
  <c r="I85" i="25"/>
  <c r="D86" i="25"/>
  <c r="E86" i="25"/>
  <c r="F86" i="25"/>
  <c r="G86" i="25"/>
  <c r="H86" i="25"/>
  <c r="I86" i="25"/>
  <c r="I78" i="25"/>
  <c r="H78" i="25"/>
  <c r="G78" i="25"/>
  <c r="F78" i="25"/>
  <c r="E78" i="25"/>
  <c r="D78" i="25"/>
  <c r="D75" i="25"/>
  <c r="E75" i="25"/>
  <c r="F75" i="25"/>
  <c r="G75" i="25"/>
  <c r="H75" i="25"/>
  <c r="D76" i="25"/>
  <c r="E76" i="25"/>
  <c r="F76" i="25"/>
  <c r="G76" i="25"/>
  <c r="H76" i="25"/>
  <c r="E74" i="25"/>
  <c r="F74" i="25"/>
  <c r="G74" i="25"/>
  <c r="H74" i="25"/>
  <c r="I74" i="25"/>
  <c r="D74" i="25"/>
  <c r="E63" i="25"/>
  <c r="F63" i="25"/>
  <c r="G63" i="25"/>
  <c r="H63" i="25"/>
  <c r="E64" i="25"/>
  <c r="F64" i="25"/>
  <c r="G64" i="25"/>
  <c r="H64" i="25"/>
  <c r="E65" i="25"/>
  <c r="F65" i="25"/>
  <c r="G65" i="25"/>
  <c r="H65" i="25"/>
  <c r="E67" i="25"/>
  <c r="F67" i="25"/>
  <c r="G67" i="25"/>
  <c r="H67" i="25"/>
  <c r="D64" i="25"/>
  <c r="D65" i="25"/>
  <c r="D67" i="25"/>
  <c r="D63" i="25"/>
  <c r="E50" i="25"/>
  <c r="F50" i="25"/>
  <c r="G50" i="25"/>
  <c r="H50" i="25"/>
  <c r="E51" i="25"/>
  <c r="F51" i="25"/>
  <c r="G51" i="25"/>
  <c r="H51" i="25"/>
  <c r="D51" i="25"/>
  <c r="D50" i="25"/>
  <c r="E47" i="25"/>
  <c r="F47" i="25"/>
  <c r="G47" i="25"/>
  <c r="H47" i="25"/>
  <c r="E48" i="25"/>
  <c r="F48" i="25"/>
  <c r="G48" i="25"/>
  <c r="H48" i="25"/>
  <c r="D48" i="25"/>
  <c r="D47" i="25"/>
  <c r="E39" i="25"/>
  <c r="F39" i="25"/>
  <c r="G39" i="25"/>
  <c r="J39" i="25"/>
  <c r="D39" i="25"/>
  <c r="J6" i="25"/>
  <c r="K6" i="25"/>
  <c r="J7" i="25"/>
  <c r="K7" i="25"/>
  <c r="J8" i="25"/>
  <c r="K8" i="25"/>
  <c r="J9" i="25"/>
  <c r="K9" i="25"/>
  <c r="F9" i="25"/>
  <c r="F8" i="25"/>
  <c r="F7" i="25"/>
  <c r="F6" i="25"/>
  <c r="E6" i="25"/>
  <c r="E7" i="25"/>
  <c r="E8" i="25"/>
  <c r="E9" i="25"/>
  <c r="D7" i="25"/>
  <c r="D8" i="25"/>
  <c r="D9" i="25"/>
  <c r="D6" i="25"/>
  <c r="F188" i="1"/>
  <c r="F176" i="1"/>
  <c r="F171" i="1" s="1"/>
  <c r="F175" i="1"/>
  <c r="F170" i="1" s="1"/>
  <c r="F174" i="1"/>
  <c r="F169" i="1" s="1"/>
  <c r="F173" i="1"/>
  <c r="F168" i="1" s="1"/>
  <c r="F172" i="1"/>
  <c r="M34" i="11"/>
  <c r="M33" i="11"/>
  <c r="M32" i="11"/>
  <c r="M31" i="11"/>
  <c r="F89" i="1"/>
  <c r="F73" i="1"/>
  <c r="K8" i="18"/>
  <c r="K9" i="18"/>
  <c r="K10" i="18"/>
  <c r="K7" i="18"/>
  <c r="H47" i="8"/>
  <c r="J20" i="7" s="1"/>
  <c r="D73" i="1"/>
  <c r="J14" i="16" l="1"/>
  <c r="H60" i="29"/>
  <c r="J26" i="16"/>
  <c r="J51" i="16"/>
  <c r="J45" i="16"/>
  <c r="J44" i="16"/>
  <c r="R19" i="7"/>
  <c r="P19" i="7"/>
  <c r="E31" i="16"/>
  <c r="J32" i="16"/>
  <c r="E6" i="16"/>
  <c r="E32" i="16"/>
  <c r="F120" i="1"/>
  <c r="J6" i="16"/>
  <c r="J46" i="16"/>
  <c r="J47" i="16"/>
  <c r="J31" i="16"/>
  <c r="F153" i="1"/>
  <c r="J33" i="16"/>
  <c r="J39" i="16" l="1"/>
  <c r="P18" i="29"/>
  <c r="F185" i="1"/>
  <c r="J13" i="16"/>
  <c r="J8" i="16"/>
  <c r="J10" i="16"/>
  <c r="F146" i="1"/>
  <c r="J37" i="16" s="1"/>
  <c r="J38" i="16"/>
  <c r="F162" i="1"/>
  <c r="J35" i="16"/>
  <c r="M58" i="11" l="1"/>
  <c r="F184" i="1"/>
  <c r="J42" i="16"/>
  <c r="J36" i="16"/>
  <c r="H11" i="8"/>
  <c r="F183" i="1" l="1"/>
  <c r="F189" i="1" s="1"/>
  <c r="F193" i="1" s="1"/>
  <c r="J11" i="16"/>
  <c r="K47" i="8"/>
  <c r="J20" i="12" s="1"/>
  <c r="M8" i="18"/>
  <c r="M9" i="18"/>
  <c r="M10" i="18"/>
  <c r="M7" i="18"/>
  <c r="L8" i="18"/>
  <c r="L9" i="18"/>
  <c r="L10" i="18"/>
  <c r="L7" i="18"/>
  <c r="J8" i="18"/>
  <c r="J9" i="18"/>
  <c r="J10" i="18"/>
  <c r="J7" i="18"/>
  <c r="I8" i="18"/>
  <c r="I9" i="18"/>
  <c r="I10" i="18"/>
  <c r="I7" i="18"/>
  <c r="C5" i="22"/>
  <c r="B31" i="22" s="1"/>
  <c r="E19" i="22"/>
  <c r="D19" i="22"/>
  <c r="E16" i="22"/>
  <c r="D16" i="22"/>
  <c r="D12" i="22"/>
  <c r="F160" i="1" l="1"/>
  <c r="J41" i="16" s="1"/>
  <c r="F142" i="1"/>
  <c r="J34" i="16" s="1"/>
  <c r="F32" i="16"/>
  <c r="K32" i="16"/>
  <c r="E73" i="1"/>
  <c r="R19" i="12" l="1"/>
  <c r="P19" i="12"/>
  <c r="D32" i="16"/>
  <c r="K6" i="16"/>
  <c r="F6" i="16"/>
  <c r="D31" i="16"/>
  <c r="K86" i="8" l="1"/>
  <c r="K87" i="8" s="1"/>
  <c r="G120" i="1"/>
  <c r="D89" i="1"/>
  <c r="E89" i="1"/>
  <c r="G89" i="1"/>
  <c r="G6" i="16"/>
  <c r="F31" i="16"/>
  <c r="K31" i="16"/>
  <c r="K14" i="16" l="1"/>
  <c r="I60" i="29"/>
  <c r="F14" i="16"/>
  <c r="G60" i="29"/>
  <c r="E14" i="16"/>
  <c r="F60" i="29"/>
  <c r="K44" i="16"/>
  <c r="N31" i="11"/>
  <c r="K46" i="16"/>
  <c r="N33" i="11"/>
  <c r="N34" i="11"/>
  <c r="K47" i="16"/>
  <c r="K45" i="16"/>
  <c r="N32" i="11"/>
  <c r="E9" i="14"/>
  <c r="B8" i="12"/>
  <c r="L34" i="11"/>
  <c r="F47" i="16" l="1"/>
  <c r="D47" i="16"/>
  <c r="K34" i="11"/>
  <c r="E47" i="16"/>
  <c r="E22" i="16" l="1"/>
  <c r="F22" i="16"/>
  <c r="E34" i="11"/>
  <c r="D22" i="16"/>
  <c r="E12" i="22"/>
  <c r="C5" i="12"/>
  <c r="B2" i="12"/>
  <c r="C37" i="12" l="1"/>
  <c r="J13" i="12" a="1"/>
  <c r="J13" i="12" s="1"/>
  <c r="J11" i="12" a="1"/>
  <c r="J11" i="12" s="1"/>
  <c r="C20" i="12"/>
  <c r="B50" i="12"/>
  <c r="C17" i="12"/>
  <c r="B47" i="12"/>
  <c r="B46" i="12"/>
  <c r="B9" i="12" a="1"/>
  <c r="B9" i="12" s="1"/>
  <c r="C39" i="12"/>
  <c r="C38" i="12" s="1"/>
  <c r="J28" i="12" a="1"/>
  <c r="J28" i="12" s="1"/>
  <c r="C32" i="12"/>
  <c r="B5" i="12" a="1"/>
  <c r="B5" i="12" s="1"/>
  <c r="J25" i="12" a="1"/>
  <c r="J25" i="12" s="1"/>
  <c r="C31" i="12"/>
  <c r="J23" i="12" a="1"/>
  <c r="J23" i="12" s="1"/>
  <c r="C30" i="12"/>
  <c r="C18" i="12"/>
  <c r="J12" i="12" a="1"/>
  <c r="J12" i="12" s="1"/>
  <c r="C19" i="12"/>
  <c r="J22" i="12" a="1"/>
  <c r="J22" i="12" s="1"/>
  <c r="C29" i="12"/>
  <c r="C26" i="12"/>
  <c r="C25" i="12"/>
  <c r="C24" i="12"/>
  <c r="J15" i="12" a="1"/>
  <c r="J15" i="12" s="1"/>
  <c r="C45" i="38" s="1"/>
  <c r="C23" i="12"/>
  <c r="E20" i="16"/>
  <c r="E46" i="1"/>
  <c r="E41" i="1"/>
  <c r="E36" i="1" s="1"/>
  <c r="E63" i="1" s="1"/>
  <c r="D46" i="1"/>
  <c r="D41" i="1"/>
  <c r="D36" i="1" s="1"/>
  <c r="D58" i="1" s="1"/>
  <c r="C31" i="11"/>
  <c r="E19" i="16"/>
  <c r="K55" i="12"/>
  <c r="L55" i="12" s="1"/>
  <c r="E48" i="12"/>
  <c r="E44" i="12"/>
  <c r="J19" i="12" a="1"/>
  <c r="J19" i="12" s="1"/>
  <c r="K48" i="12" a="1"/>
  <c r="K48" i="12" s="1"/>
  <c r="C47" i="38" s="1"/>
  <c r="J10" i="12" a="1"/>
  <c r="J10" i="12" s="1"/>
  <c r="F21" i="16"/>
  <c r="E33" i="11"/>
  <c r="E21" i="16"/>
  <c r="F20" i="16"/>
  <c r="E32" i="11"/>
  <c r="F19" i="16"/>
  <c r="E31" i="11"/>
  <c r="J41" i="12"/>
  <c r="B7" i="12" a="1"/>
  <c r="B7" i="12" s="1"/>
  <c r="J26" i="12" a="1"/>
  <c r="J26" i="12" s="1"/>
  <c r="J29" i="12" a="1"/>
  <c r="J29" i="12" s="1"/>
  <c r="D37" i="12"/>
  <c r="D38" i="12"/>
  <c r="D39" i="12"/>
  <c r="J31" i="12" a="1"/>
  <c r="J31" i="12" s="1"/>
  <c r="J32" i="12" a="1"/>
  <c r="J32" i="12" s="1"/>
  <c r="D18" i="12"/>
  <c r="D20" i="12"/>
  <c r="D17" i="12"/>
  <c r="D19" i="12"/>
  <c r="K29" i="12" l="1"/>
  <c r="D57" i="1"/>
  <c r="B37" i="28"/>
  <c r="K28" i="12"/>
  <c r="K19" i="12"/>
  <c r="K20" i="12" s="1"/>
  <c r="K26" i="12"/>
  <c r="K25" i="12"/>
  <c r="E67" i="1"/>
  <c r="E34" i="1" s="1"/>
  <c r="L48" i="12"/>
  <c r="J48" i="12"/>
  <c r="J55" i="12"/>
  <c r="R21" i="12"/>
  <c r="P21" i="12"/>
  <c r="P29" i="12"/>
  <c r="R29" i="12"/>
  <c r="R27" i="12"/>
  <c r="P27" i="12"/>
  <c r="R28" i="12"/>
  <c r="P28" i="12"/>
  <c r="R24" i="12"/>
  <c r="P24" i="12"/>
  <c r="R18" i="12"/>
  <c r="P18" i="12"/>
  <c r="R22" i="12"/>
  <c r="P22" i="12"/>
  <c r="P25" i="12"/>
  <c r="R25" i="12"/>
  <c r="P30" i="12"/>
  <c r="R30" i="12"/>
  <c r="E46" i="16"/>
  <c r="K33" i="11"/>
  <c r="F46" i="16"/>
  <c r="L33" i="11"/>
  <c r="C2" i="17"/>
  <c r="B47" i="28" l="1"/>
  <c r="B38" i="28"/>
  <c r="F38" i="28" s="1"/>
  <c r="G38" i="28" s="1"/>
  <c r="D63" i="1"/>
  <c r="D67" i="1" s="1"/>
  <c r="B11" i="28" a="1"/>
  <c r="B11" i="28" s="1"/>
  <c r="B45" i="28"/>
  <c r="B42" i="28"/>
  <c r="F42" i="28" s="1"/>
  <c r="G42" i="28" s="1"/>
  <c r="E16" i="1"/>
  <c r="C18" i="17" a="1"/>
  <c r="C18" i="17" s="1"/>
  <c r="C17" i="17" a="1"/>
  <c r="C17" i="17" s="1"/>
  <c r="C39" i="17" a="1"/>
  <c r="C39" i="17" s="1"/>
  <c r="C33" i="17" a="1"/>
  <c r="C33" i="17" s="1"/>
  <c r="C38" i="17" a="1"/>
  <c r="C38" i="17" s="1"/>
  <c r="C12" i="17" a="1"/>
  <c r="C12" i="17" s="1"/>
  <c r="J60" i="12"/>
  <c r="L60" i="12"/>
  <c r="L31" i="11"/>
  <c r="F44" i="16"/>
  <c r="L32" i="11"/>
  <c r="F45" i="16"/>
  <c r="K31" i="11"/>
  <c r="E44" i="16"/>
  <c r="K32" i="11"/>
  <c r="E45" i="16"/>
  <c r="C60" i="17" a="1"/>
  <c r="C60" i="17" s="1"/>
  <c r="C59" i="17" a="1"/>
  <c r="C59" i="17" s="1"/>
  <c r="C54" i="17" a="1"/>
  <c r="C54" i="17" s="1"/>
  <c r="C55" i="17" s="1"/>
  <c r="C56" i="17" s="1"/>
  <c r="D34" i="1" l="1"/>
  <c r="D16" i="1"/>
  <c r="AU21" i="17"/>
  <c r="AV21" i="17"/>
  <c r="AW21" i="17"/>
  <c r="AX21" i="17"/>
  <c r="AG21" i="17"/>
  <c r="AH21" i="17"/>
  <c r="AI21" i="17"/>
  <c r="AJ21" i="17"/>
  <c r="AK21" i="17"/>
  <c r="AL21" i="17"/>
  <c r="AM21" i="17"/>
  <c r="AN21" i="17"/>
  <c r="AO21" i="17"/>
  <c r="AP21" i="17"/>
  <c r="AQ21" i="17"/>
  <c r="AR21" i="17"/>
  <c r="AS21" i="17"/>
  <c r="AT21" i="17"/>
  <c r="C13" i="17"/>
  <c r="C14" i="17" s="1"/>
  <c r="C34" i="17"/>
  <c r="C35" i="17" s="1"/>
  <c r="AQ22" i="17"/>
  <c r="AL22" i="17"/>
  <c r="AW22" i="17"/>
  <c r="AX22" i="17"/>
  <c r="AR22" i="17"/>
  <c r="AT22" i="17"/>
  <c r="AS22" i="17"/>
  <c r="AP22" i="17"/>
  <c r="AV22" i="17"/>
  <c r="AG22" i="17"/>
  <c r="AJ22" i="17"/>
  <c r="AM22" i="17"/>
  <c r="AH22" i="17"/>
  <c r="AU22" i="17"/>
  <c r="AN22" i="17"/>
  <c r="AO22" i="17"/>
  <c r="AK22" i="17"/>
  <c r="AI22" i="17"/>
  <c r="AO42" i="17"/>
  <c r="AQ42" i="17"/>
  <c r="AP42" i="17"/>
  <c r="AX42" i="17"/>
  <c r="AN42" i="17"/>
  <c r="AR42" i="17"/>
  <c r="AS42" i="17"/>
  <c r="AT42" i="17"/>
  <c r="AU42" i="17"/>
  <c r="AV42" i="17"/>
  <c r="AM42" i="17"/>
  <c r="AW42" i="17"/>
  <c r="AM63" i="17"/>
  <c r="AO63" i="17"/>
  <c r="AU63" i="17"/>
  <c r="AN63" i="17"/>
  <c r="AV63" i="17"/>
  <c r="AS63" i="17"/>
  <c r="AW63" i="17"/>
  <c r="AQ63" i="17"/>
  <c r="AX63" i="17"/>
  <c r="AP63" i="17"/>
  <c r="AR63" i="17"/>
  <c r="AT63" i="17"/>
  <c r="AT64" i="17"/>
  <c r="AW64" i="17"/>
  <c r="AN64" i="17"/>
  <c r="AU64" i="17"/>
  <c r="AP64" i="17"/>
  <c r="AS64" i="17"/>
  <c r="AV64" i="17"/>
  <c r="AX64" i="17"/>
  <c r="AM64" i="17"/>
  <c r="AO64" i="17"/>
  <c r="AQ64" i="17"/>
  <c r="AR64" i="17"/>
  <c r="AR43" i="17"/>
  <c r="AS43" i="17"/>
  <c r="AU43" i="17"/>
  <c r="AM43" i="17"/>
  <c r="AN43" i="17"/>
  <c r="AV43" i="17"/>
  <c r="AW43" i="17"/>
  <c r="AX43" i="17"/>
  <c r="AO43" i="17"/>
  <c r="AP43" i="17"/>
  <c r="AQ43" i="17"/>
  <c r="AT43" i="17"/>
  <c r="G26" i="16"/>
  <c r="G25" i="16"/>
  <c r="G24" i="16"/>
  <c r="G22" i="16"/>
  <c r="G21" i="16"/>
  <c r="G20" i="16"/>
  <c r="G19" i="16"/>
  <c r="G17" i="16"/>
  <c r="G7" i="16"/>
  <c r="G8" i="16"/>
  <c r="G9" i="16"/>
  <c r="G10" i="16"/>
  <c r="G11" i="16"/>
  <c r="G12" i="16"/>
  <c r="G13" i="16"/>
  <c r="G14" i="16"/>
  <c r="G15" i="16"/>
  <c r="G16" i="16"/>
  <c r="E49" i="16"/>
  <c r="F49" i="16"/>
  <c r="K49" i="16"/>
  <c r="D49" i="16"/>
  <c r="G173" i="1"/>
  <c r="G168" i="1" s="1"/>
  <c r="G174" i="1"/>
  <c r="G169" i="1" s="1"/>
  <c r="G175" i="1"/>
  <c r="G170" i="1" s="1"/>
  <c r="G176" i="1"/>
  <c r="G171" i="1" s="1"/>
  <c r="C188" i="1"/>
  <c r="D188" i="1"/>
  <c r="E188" i="1"/>
  <c r="D107" i="1"/>
  <c r="E107" i="1"/>
  <c r="C107" i="1"/>
  <c r="D106" i="1"/>
  <c r="E106" i="1"/>
  <c r="C106" i="1"/>
  <c r="D105" i="1"/>
  <c r="E105" i="1"/>
  <c r="C105" i="1"/>
  <c r="D104" i="1"/>
  <c r="E104" i="1"/>
  <c r="C104" i="1"/>
  <c r="K89" i="8" l="1"/>
  <c r="C103" i="1"/>
  <c r="G188" i="1"/>
  <c r="E18" i="12"/>
  <c r="E19" i="12"/>
  <c r="E17" i="12"/>
  <c r="E20" i="12"/>
  <c r="B6" i="12" a="1"/>
  <c r="B6" i="12" s="1"/>
  <c r="G153" i="1"/>
  <c r="E153" i="1"/>
  <c r="D153" i="1"/>
  <c r="D103" i="1"/>
  <c r="E146" i="1" l="1"/>
  <c r="F37" i="16" s="1"/>
  <c r="K39" i="16"/>
  <c r="Q18" i="29"/>
  <c r="E39" i="16"/>
  <c r="N18" i="29"/>
  <c r="F39" i="16"/>
  <c r="O18" i="29"/>
  <c r="D39" i="16"/>
  <c r="M18" i="29"/>
  <c r="K41" i="12"/>
  <c r="K56" i="12"/>
  <c r="L56" i="12"/>
  <c r="J56" i="12"/>
  <c r="Q24" i="12"/>
  <c r="S24" i="12"/>
  <c r="S25" i="12"/>
  <c r="Q25" i="12"/>
  <c r="G185" i="1"/>
  <c r="K13" i="8"/>
  <c r="D185" i="1"/>
  <c r="D146" i="1"/>
  <c r="E37" i="16" s="1"/>
  <c r="G146" i="1"/>
  <c r="K37" i="16" s="1"/>
  <c r="I33" i="15"/>
  <c r="P33" i="15" s="1"/>
  <c r="D15" i="25" s="1"/>
  <c r="F81" i="15"/>
  <c r="E81" i="15"/>
  <c r="D81" i="15"/>
  <c r="C81" i="15"/>
  <c r="B81" i="15"/>
  <c r="F65" i="15"/>
  <c r="E65" i="15"/>
  <c r="D65" i="15"/>
  <c r="C65" i="15"/>
  <c r="B65" i="15"/>
  <c r="F64" i="15"/>
  <c r="E64" i="15"/>
  <c r="D64" i="15"/>
  <c r="C64" i="15"/>
  <c r="B64" i="15"/>
  <c r="F63" i="15"/>
  <c r="E63" i="15"/>
  <c r="D63" i="15"/>
  <c r="C63" i="15"/>
  <c r="P40" i="15"/>
  <c r="M53" i="15"/>
  <c r="L53" i="15"/>
  <c r="K53" i="15"/>
  <c r="J53" i="15"/>
  <c r="I53" i="15"/>
  <c r="M52" i="15"/>
  <c r="L52" i="15"/>
  <c r="K52" i="15"/>
  <c r="J52" i="15"/>
  <c r="I52" i="15"/>
  <c r="M51" i="15"/>
  <c r="L51" i="15"/>
  <c r="K51" i="15"/>
  <c r="J51" i="15"/>
  <c r="I51" i="15"/>
  <c r="M50" i="15"/>
  <c r="L50" i="15"/>
  <c r="K50" i="15"/>
  <c r="J50" i="15"/>
  <c r="AG34" i="15" s="1"/>
  <c r="E32" i="25" s="1"/>
  <c r="I50" i="15"/>
  <c r="AG33" i="15" s="1"/>
  <c r="D32" i="25" s="1"/>
  <c r="F50" i="15"/>
  <c r="E50" i="15"/>
  <c r="D50" i="15"/>
  <c r="C50" i="15"/>
  <c r="B50" i="15"/>
  <c r="M49" i="15"/>
  <c r="AF37" i="15" s="1"/>
  <c r="J31" i="25" s="1"/>
  <c r="L49" i="15"/>
  <c r="AF36" i="15" s="1"/>
  <c r="G31" i="25" s="1"/>
  <c r="K49" i="15"/>
  <c r="AF35" i="15" s="1"/>
  <c r="F31" i="25" s="1"/>
  <c r="J49" i="15"/>
  <c r="I49" i="15"/>
  <c r="F49" i="15"/>
  <c r="E49" i="15"/>
  <c r="D49" i="15"/>
  <c r="C49" i="15"/>
  <c r="B49" i="15"/>
  <c r="M48" i="15"/>
  <c r="AE37" i="15" s="1"/>
  <c r="J30" i="25" s="1"/>
  <c r="L48" i="15"/>
  <c r="AE36" i="15" s="1"/>
  <c r="G30" i="25" s="1"/>
  <c r="K48" i="15"/>
  <c r="J48" i="15"/>
  <c r="I48" i="15"/>
  <c r="AE33" i="15" s="1"/>
  <c r="D30" i="25" s="1"/>
  <c r="F48" i="15"/>
  <c r="E48" i="15"/>
  <c r="D48" i="15"/>
  <c r="C48" i="15"/>
  <c r="B48" i="15"/>
  <c r="M47" i="15"/>
  <c r="L47" i="15"/>
  <c r="K47" i="15"/>
  <c r="AD35" i="15" s="1"/>
  <c r="F29" i="25" s="1"/>
  <c r="J47" i="15"/>
  <c r="I47" i="15"/>
  <c r="F47" i="15"/>
  <c r="E47" i="15"/>
  <c r="D47" i="15"/>
  <c r="C47" i="15"/>
  <c r="B47" i="15"/>
  <c r="M46" i="15"/>
  <c r="AC37" i="15" s="1"/>
  <c r="J28" i="25" s="1"/>
  <c r="L46" i="15"/>
  <c r="AC36" i="15" s="1"/>
  <c r="G28" i="25" s="1"/>
  <c r="K46" i="15"/>
  <c r="AC35" i="15" s="1"/>
  <c r="F28" i="25" s="1"/>
  <c r="J46" i="15"/>
  <c r="AC34" i="15" s="1"/>
  <c r="E28" i="25" s="1"/>
  <c r="I46" i="15"/>
  <c r="AC33" i="15" s="1"/>
  <c r="D28" i="25" s="1"/>
  <c r="F46" i="15"/>
  <c r="E46" i="15"/>
  <c r="D46" i="15"/>
  <c r="C46" i="15"/>
  <c r="B46" i="15"/>
  <c r="M45" i="15"/>
  <c r="L45" i="15"/>
  <c r="AB36" i="15" s="1"/>
  <c r="G27" i="25" s="1"/>
  <c r="K45" i="15"/>
  <c r="AB35" i="15" s="1"/>
  <c r="F27" i="25" s="1"/>
  <c r="J45" i="15"/>
  <c r="AB34" i="15" s="1"/>
  <c r="E27" i="25" s="1"/>
  <c r="I45" i="15"/>
  <c r="F45" i="15"/>
  <c r="E45" i="15"/>
  <c r="D45" i="15"/>
  <c r="C45" i="15"/>
  <c r="B45" i="15"/>
  <c r="M44" i="15"/>
  <c r="AA37" i="15" s="1"/>
  <c r="J26" i="25" s="1"/>
  <c r="L44" i="15"/>
  <c r="AA36" i="15" s="1"/>
  <c r="G26" i="25" s="1"/>
  <c r="K44" i="15"/>
  <c r="AA35" i="15" s="1"/>
  <c r="F26" i="25" s="1"/>
  <c r="J44" i="15"/>
  <c r="I44" i="15"/>
  <c r="F44" i="15"/>
  <c r="E44" i="15"/>
  <c r="D44" i="15"/>
  <c r="C44" i="15"/>
  <c r="B44" i="15"/>
  <c r="M43" i="15"/>
  <c r="L43" i="15"/>
  <c r="Z36" i="15" s="1"/>
  <c r="K43" i="15"/>
  <c r="Z35" i="15" s="1"/>
  <c r="J43" i="15"/>
  <c r="Z34" i="15" s="1"/>
  <c r="I43" i="15"/>
  <c r="Z33" i="15" s="1"/>
  <c r="F43" i="15"/>
  <c r="E43" i="15"/>
  <c r="D43" i="15"/>
  <c r="C43" i="15"/>
  <c r="B43" i="15"/>
  <c r="M42" i="15"/>
  <c r="Y37" i="15" s="1"/>
  <c r="J24" i="25" s="1"/>
  <c r="L42" i="15"/>
  <c r="K42" i="15"/>
  <c r="Y35" i="15" s="1"/>
  <c r="F24" i="25" s="1"/>
  <c r="J42" i="15"/>
  <c r="I42" i="15"/>
  <c r="Y33" i="15" s="1"/>
  <c r="D24" i="25" s="1"/>
  <c r="F42" i="15"/>
  <c r="E42" i="15"/>
  <c r="D42" i="15"/>
  <c r="C42" i="15"/>
  <c r="B42" i="15"/>
  <c r="M41" i="15"/>
  <c r="X37" i="15" s="1"/>
  <c r="J23" i="25" s="1"/>
  <c r="L41" i="15"/>
  <c r="X36" i="15" s="1"/>
  <c r="G23" i="25" s="1"/>
  <c r="K41" i="15"/>
  <c r="X35" i="15" s="1"/>
  <c r="F23" i="25" s="1"/>
  <c r="J41" i="15"/>
  <c r="I41" i="15"/>
  <c r="F41" i="15"/>
  <c r="E41" i="15"/>
  <c r="D41" i="15"/>
  <c r="C41" i="15"/>
  <c r="B41" i="15"/>
  <c r="M40" i="15"/>
  <c r="W37" i="15" s="1"/>
  <c r="J22" i="25" s="1"/>
  <c r="L40" i="15"/>
  <c r="W36" i="15" s="1"/>
  <c r="G22" i="25" s="1"/>
  <c r="K40" i="15"/>
  <c r="J40" i="15"/>
  <c r="W34" i="15" s="1"/>
  <c r="E22" i="25" s="1"/>
  <c r="I40" i="15"/>
  <c r="W33" i="15" s="1"/>
  <c r="D22" i="25" s="1"/>
  <c r="F40" i="15"/>
  <c r="E40" i="15"/>
  <c r="D40" i="15"/>
  <c r="C40" i="15"/>
  <c r="B40" i="15"/>
  <c r="M39" i="15"/>
  <c r="V37" i="15" s="1"/>
  <c r="J21" i="25" s="1"/>
  <c r="L39" i="15"/>
  <c r="V36" i="15" s="1"/>
  <c r="G21" i="25" s="1"/>
  <c r="K39" i="15"/>
  <c r="J39" i="15"/>
  <c r="I39" i="15"/>
  <c r="V33" i="15" s="1"/>
  <c r="D21" i="25" s="1"/>
  <c r="F39" i="15"/>
  <c r="E39" i="15"/>
  <c r="D39" i="15"/>
  <c r="C39" i="15"/>
  <c r="B39" i="15"/>
  <c r="M38" i="15"/>
  <c r="U37" i="15" s="1"/>
  <c r="J20" i="25" s="1"/>
  <c r="L38" i="15"/>
  <c r="K38" i="15"/>
  <c r="U35" i="15" s="1"/>
  <c r="F20" i="25" s="1"/>
  <c r="J38" i="15"/>
  <c r="U34" i="15" s="1"/>
  <c r="E20" i="25" s="1"/>
  <c r="I38" i="15"/>
  <c r="U33" i="15" s="1"/>
  <c r="D20" i="25" s="1"/>
  <c r="F38" i="15"/>
  <c r="E38" i="15"/>
  <c r="D38" i="15"/>
  <c r="C38" i="15"/>
  <c r="B38" i="15"/>
  <c r="AG37" i="15"/>
  <c r="J32" i="25" s="1"/>
  <c r="AD37" i="15"/>
  <c r="J29" i="25" s="1"/>
  <c r="AB37" i="15"/>
  <c r="J27" i="25" s="1"/>
  <c r="Z37" i="15"/>
  <c r="J25" i="25" s="1"/>
  <c r="M37" i="15"/>
  <c r="T37" i="15" s="1"/>
  <c r="J19" i="25" s="1"/>
  <c r="L37" i="15"/>
  <c r="K37" i="15"/>
  <c r="T35" i="15" s="1"/>
  <c r="F19" i="25" s="1"/>
  <c r="J37" i="15"/>
  <c r="T34" i="15" s="1"/>
  <c r="E19" i="25" s="1"/>
  <c r="I37" i="15"/>
  <c r="T33" i="15" s="1"/>
  <c r="D19" i="25" s="1"/>
  <c r="F37" i="15"/>
  <c r="E37" i="15"/>
  <c r="D37" i="15"/>
  <c r="C37" i="15"/>
  <c r="B37" i="15"/>
  <c r="AG36" i="15"/>
  <c r="G32" i="25" s="1"/>
  <c r="AD36" i="15"/>
  <c r="G29" i="25" s="1"/>
  <c r="Y36" i="15"/>
  <c r="G24" i="25" s="1"/>
  <c r="U36" i="15"/>
  <c r="G20" i="25" s="1"/>
  <c r="T36" i="15"/>
  <c r="G19" i="25" s="1"/>
  <c r="M36" i="15"/>
  <c r="S37" i="15" s="1"/>
  <c r="J18" i="25" s="1"/>
  <c r="L36" i="15"/>
  <c r="S36" i="15" s="1"/>
  <c r="G18" i="25" s="1"/>
  <c r="K36" i="15"/>
  <c r="S35" i="15" s="1"/>
  <c r="F18" i="25" s="1"/>
  <c r="J36" i="15"/>
  <c r="S34" i="15" s="1"/>
  <c r="E18" i="25" s="1"/>
  <c r="I36" i="15"/>
  <c r="S33" i="15" s="1"/>
  <c r="D18" i="25" s="1"/>
  <c r="F36" i="15"/>
  <c r="E36" i="15"/>
  <c r="D36" i="15"/>
  <c r="C36" i="15"/>
  <c r="B36" i="15"/>
  <c r="AG35" i="15"/>
  <c r="F32" i="25" s="1"/>
  <c r="AE35" i="15"/>
  <c r="F30" i="25" s="1"/>
  <c r="W35" i="15"/>
  <c r="F22" i="25" s="1"/>
  <c r="V35" i="15"/>
  <c r="F21" i="25" s="1"/>
  <c r="M35" i="15"/>
  <c r="R37" i="15" s="1"/>
  <c r="J17" i="25" s="1"/>
  <c r="L35" i="15"/>
  <c r="R36" i="15" s="1"/>
  <c r="G17" i="25" s="1"/>
  <c r="K35" i="15"/>
  <c r="R35" i="15" s="1"/>
  <c r="F17" i="25" s="1"/>
  <c r="J35" i="15"/>
  <c r="R34" i="15" s="1"/>
  <c r="E17" i="25" s="1"/>
  <c r="I35" i="15"/>
  <c r="R33" i="15" s="1"/>
  <c r="D17" i="25" s="1"/>
  <c r="F35" i="15"/>
  <c r="E35" i="15"/>
  <c r="D35" i="15"/>
  <c r="C35" i="15"/>
  <c r="B35" i="15"/>
  <c r="AF34" i="15"/>
  <c r="E31" i="25" s="1"/>
  <c r="AE34" i="15"/>
  <c r="E30" i="25" s="1"/>
  <c r="AD34" i="15"/>
  <c r="E29" i="25" s="1"/>
  <c r="AA34" i="15"/>
  <c r="E26" i="25" s="1"/>
  <c r="Y34" i="15"/>
  <c r="E24" i="25" s="1"/>
  <c r="X34" i="15"/>
  <c r="E23" i="25" s="1"/>
  <c r="V34" i="15"/>
  <c r="E21" i="25" s="1"/>
  <c r="M34" i="15"/>
  <c r="Q37" i="15" s="1"/>
  <c r="J16" i="25" s="1"/>
  <c r="L34" i="15"/>
  <c r="Q36" i="15" s="1"/>
  <c r="G16" i="25" s="1"/>
  <c r="K34" i="15"/>
  <c r="Q35" i="15" s="1"/>
  <c r="F16" i="25" s="1"/>
  <c r="J34" i="15"/>
  <c r="Q34" i="15" s="1"/>
  <c r="E16" i="25" s="1"/>
  <c r="I34" i="15"/>
  <c r="Q33" i="15" s="1"/>
  <c r="D16" i="25" s="1"/>
  <c r="F34" i="15"/>
  <c r="E34" i="15"/>
  <c r="D34" i="15"/>
  <c r="C34" i="15"/>
  <c r="B34" i="15"/>
  <c r="AF33" i="15"/>
  <c r="D31" i="25" s="1"/>
  <c r="AD33" i="15"/>
  <c r="D29" i="25" s="1"/>
  <c r="AB33" i="15"/>
  <c r="D27" i="25" s="1"/>
  <c r="AA33" i="15"/>
  <c r="D26" i="25" s="1"/>
  <c r="X33" i="15"/>
  <c r="D23" i="25" s="1"/>
  <c r="M33" i="15"/>
  <c r="P37" i="15" s="1"/>
  <c r="J15" i="25" s="1"/>
  <c r="L33" i="15"/>
  <c r="P36" i="15" s="1"/>
  <c r="G15" i="25" s="1"/>
  <c r="K33" i="15"/>
  <c r="P35" i="15" s="1"/>
  <c r="F15" i="25" s="1"/>
  <c r="J33" i="15"/>
  <c r="P34" i="15" s="1"/>
  <c r="E15" i="25" s="1"/>
  <c r="F33" i="15"/>
  <c r="E33" i="15"/>
  <c r="D33" i="15"/>
  <c r="C33" i="15"/>
  <c r="B33" i="15"/>
  <c r="I25" i="15"/>
  <c r="AD15" i="15" s="1"/>
  <c r="H25" i="15"/>
  <c r="AD14" i="15" s="1"/>
  <c r="G25" i="15"/>
  <c r="AD13" i="15" s="1"/>
  <c r="F25" i="15"/>
  <c r="AD12" i="15" s="1"/>
  <c r="E25" i="15"/>
  <c r="AD11" i="15" s="1"/>
  <c r="D25" i="15"/>
  <c r="AD10" i="15" s="1"/>
  <c r="C25" i="15"/>
  <c r="AD9" i="15" s="1"/>
  <c r="B25" i="15"/>
  <c r="AD8" i="15" s="1"/>
  <c r="I24" i="15"/>
  <c r="AC15" i="15" s="1"/>
  <c r="H24" i="15"/>
  <c r="AC14" i="15" s="1"/>
  <c r="G24" i="15"/>
  <c r="AC13" i="15" s="1"/>
  <c r="F24" i="15"/>
  <c r="AC12" i="15" s="1"/>
  <c r="E24" i="15"/>
  <c r="AC11" i="15" s="1"/>
  <c r="D24" i="15"/>
  <c r="AC10" i="15" s="1"/>
  <c r="C24" i="15"/>
  <c r="AC9" i="15" s="1"/>
  <c r="B24" i="15"/>
  <c r="AC8" i="15" s="1"/>
  <c r="I23" i="15"/>
  <c r="AB15" i="15" s="1"/>
  <c r="H23" i="15"/>
  <c r="AB14" i="15" s="1"/>
  <c r="G23" i="15"/>
  <c r="AB13" i="15" s="1"/>
  <c r="F23" i="15"/>
  <c r="AB12" i="15" s="1"/>
  <c r="E23" i="15"/>
  <c r="AB11" i="15" s="1"/>
  <c r="D23" i="15"/>
  <c r="AB10" i="15" s="1"/>
  <c r="C23" i="15"/>
  <c r="AB9" i="15" s="1"/>
  <c r="B23" i="15"/>
  <c r="AB8" i="15" s="1"/>
  <c r="I22" i="15"/>
  <c r="AA15" i="15" s="1"/>
  <c r="H22" i="15"/>
  <c r="AA14" i="15" s="1"/>
  <c r="G22" i="15"/>
  <c r="AA13" i="15" s="1"/>
  <c r="F22" i="15"/>
  <c r="AA12" i="15" s="1"/>
  <c r="E22" i="15"/>
  <c r="AA11" i="15" s="1"/>
  <c r="D22" i="15"/>
  <c r="AA10" i="15" s="1"/>
  <c r="C22" i="15"/>
  <c r="AA9" i="15" s="1"/>
  <c r="B22" i="15"/>
  <c r="AA8" i="15" s="1"/>
  <c r="I21" i="15"/>
  <c r="Z15" i="15" s="1"/>
  <c r="H21" i="15"/>
  <c r="Z14" i="15" s="1"/>
  <c r="G21" i="15"/>
  <c r="Z13" i="15" s="1"/>
  <c r="F21" i="15"/>
  <c r="Z12" i="15" s="1"/>
  <c r="E21" i="15"/>
  <c r="Z11" i="15" s="1"/>
  <c r="D21" i="15"/>
  <c r="Z10" i="15" s="1"/>
  <c r="C21" i="15"/>
  <c r="Z9" i="15" s="1"/>
  <c r="B21" i="15"/>
  <c r="Z8" i="15" s="1"/>
  <c r="I20" i="15"/>
  <c r="Y15" i="15" s="1"/>
  <c r="H20" i="15"/>
  <c r="Y14" i="15" s="1"/>
  <c r="G20" i="15"/>
  <c r="Y13" i="15" s="1"/>
  <c r="F20" i="15"/>
  <c r="Y12" i="15" s="1"/>
  <c r="E20" i="15"/>
  <c r="Y11" i="15" s="1"/>
  <c r="D20" i="15"/>
  <c r="Y10" i="15" s="1"/>
  <c r="C20" i="15"/>
  <c r="Y9" i="15" s="1"/>
  <c r="B20" i="15"/>
  <c r="Y8" i="15" s="1"/>
  <c r="I19" i="15"/>
  <c r="X15" i="15" s="1"/>
  <c r="H19" i="15"/>
  <c r="X14" i="15" s="1"/>
  <c r="G19" i="15"/>
  <c r="X13" i="15" s="1"/>
  <c r="F19" i="15"/>
  <c r="X12" i="15" s="1"/>
  <c r="E19" i="15"/>
  <c r="X11" i="15" s="1"/>
  <c r="D19" i="15"/>
  <c r="X10" i="15" s="1"/>
  <c r="C19" i="15"/>
  <c r="X9" i="15" s="1"/>
  <c r="B19" i="15"/>
  <c r="X8" i="15" s="1"/>
  <c r="I18" i="15"/>
  <c r="W15" i="15" s="1"/>
  <c r="H18" i="15"/>
  <c r="W14" i="15" s="1"/>
  <c r="G18" i="15"/>
  <c r="W13" i="15" s="1"/>
  <c r="F18" i="15"/>
  <c r="W12" i="15" s="1"/>
  <c r="E18" i="15"/>
  <c r="W11" i="15" s="1"/>
  <c r="D18" i="15"/>
  <c r="W10" i="15" s="1"/>
  <c r="C18" i="15"/>
  <c r="W9" i="15" s="1"/>
  <c r="B18" i="15"/>
  <c r="W8" i="15" s="1"/>
  <c r="I17" i="15"/>
  <c r="V15" i="15" s="1"/>
  <c r="H17" i="15"/>
  <c r="V14" i="15" s="1"/>
  <c r="G17" i="15"/>
  <c r="V13" i="15" s="1"/>
  <c r="F17" i="15"/>
  <c r="V12" i="15" s="1"/>
  <c r="E17" i="15"/>
  <c r="V11" i="15" s="1"/>
  <c r="D17" i="15"/>
  <c r="V10" i="15" s="1"/>
  <c r="C17" i="15"/>
  <c r="V9" i="15" s="1"/>
  <c r="B17" i="15"/>
  <c r="V8" i="15" s="1"/>
  <c r="I16" i="15"/>
  <c r="U15" i="15" s="1"/>
  <c r="H16" i="15"/>
  <c r="U14" i="15" s="1"/>
  <c r="G16" i="15"/>
  <c r="U13" i="15" s="1"/>
  <c r="F16" i="15"/>
  <c r="U12" i="15" s="1"/>
  <c r="E16" i="15"/>
  <c r="U11" i="15" s="1"/>
  <c r="D16" i="15"/>
  <c r="U10" i="15" s="1"/>
  <c r="C16" i="15"/>
  <c r="U9" i="15" s="1"/>
  <c r="B16" i="15"/>
  <c r="U8" i="15" s="1"/>
  <c r="I15" i="15"/>
  <c r="T15" i="15" s="1"/>
  <c r="H15" i="15"/>
  <c r="T14" i="15" s="1"/>
  <c r="G15" i="15"/>
  <c r="T13" i="15" s="1"/>
  <c r="F15" i="15"/>
  <c r="T12" i="15" s="1"/>
  <c r="E15" i="15"/>
  <c r="T11" i="15" s="1"/>
  <c r="D15" i="15"/>
  <c r="T10" i="15" s="1"/>
  <c r="C15" i="15"/>
  <c r="T9" i="15" s="1"/>
  <c r="B15" i="15"/>
  <c r="T8" i="15" s="1"/>
  <c r="I14" i="15"/>
  <c r="S15" i="15" s="1"/>
  <c r="H14" i="15"/>
  <c r="S14" i="15" s="1"/>
  <c r="G14" i="15"/>
  <c r="S13" i="15" s="1"/>
  <c r="F14" i="15"/>
  <c r="S12" i="15" s="1"/>
  <c r="E14" i="15"/>
  <c r="S11" i="15" s="1"/>
  <c r="D14" i="15"/>
  <c r="S10" i="15" s="1"/>
  <c r="C14" i="15"/>
  <c r="S9" i="15" s="1"/>
  <c r="B14" i="15"/>
  <c r="S8" i="15" s="1"/>
  <c r="I13" i="15"/>
  <c r="R15" i="15" s="1"/>
  <c r="H13" i="15"/>
  <c r="R14" i="15" s="1"/>
  <c r="G13" i="15"/>
  <c r="R13" i="15" s="1"/>
  <c r="F13" i="15"/>
  <c r="R12" i="15" s="1"/>
  <c r="E13" i="15"/>
  <c r="R11" i="15" s="1"/>
  <c r="D13" i="15"/>
  <c r="R10" i="15" s="1"/>
  <c r="C13" i="15"/>
  <c r="R9" i="15" s="1"/>
  <c r="B13" i="15"/>
  <c r="R8" i="15" s="1"/>
  <c r="I12" i="15"/>
  <c r="Q15" i="15" s="1"/>
  <c r="H12" i="15"/>
  <c r="Q14" i="15" s="1"/>
  <c r="G12" i="15"/>
  <c r="Q13" i="15" s="1"/>
  <c r="F12" i="15"/>
  <c r="Q12" i="15" s="1"/>
  <c r="E12" i="15"/>
  <c r="Q11" i="15" s="1"/>
  <c r="D12" i="15"/>
  <c r="Q10" i="15" s="1"/>
  <c r="C12" i="15"/>
  <c r="Q9" i="15" s="1"/>
  <c r="B12" i="15"/>
  <c r="Q8" i="15" s="1"/>
  <c r="I11" i="15"/>
  <c r="P15" i="15" s="1"/>
  <c r="H11" i="15"/>
  <c r="P14" i="15" s="1"/>
  <c r="G11" i="15"/>
  <c r="P13" i="15" s="1"/>
  <c r="F11" i="15"/>
  <c r="P12" i="15" s="1"/>
  <c r="E11" i="15"/>
  <c r="P11" i="15" s="1"/>
  <c r="D11" i="15"/>
  <c r="P10" i="15" s="1"/>
  <c r="C11" i="15"/>
  <c r="P9" i="15" s="1"/>
  <c r="B11" i="15"/>
  <c r="P8" i="15" s="1"/>
  <c r="I10" i="15"/>
  <c r="O15" i="15" s="1"/>
  <c r="H10" i="15"/>
  <c r="O14" i="15" s="1"/>
  <c r="G10" i="15"/>
  <c r="O13" i="15" s="1"/>
  <c r="F10" i="15"/>
  <c r="O12" i="15" s="1"/>
  <c r="E10" i="15"/>
  <c r="O11" i="15" s="1"/>
  <c r="D10" i="15"/>
  <c r="O10" i="15" s="1"/>
  <c r="C10" i="15"/>
  <c r="O9" i="15" s="1"/>
  <c r="B10" i="15"/>
  <c r="O8" i="15" s="1"/>
  <c r="I9" i="15"/>
  <c r="N15" i="15" s="1"/>
  <c r="H9" i="15"/>
  <c r="N14" i="15" s="1"/>
  <c r="G9" i="15"/>
  <c r="N13" i="15" s="1"/>
  <c r="F9" i="15"/>
  <c r="N12" i="15" s="1"/>
  <c r="E9" i="15"/>
  <c r="N11" i="15" s="1"/>
  <c r="D9" i="15"/>
  <c r="N10" i="15" s="1"/>
  <c r="C9" i="15"/>
  <c r="N9" i="15" s="1"/>
  <c r="B9" i="15"/>
  <c r="N8" i="15" s="1"/>
  <c r="I8" i="15"/>
  <c r="M15" i="15" s="1"/>
  <c r="H8" i="15"/>
  <c r="M14" i="15" s="1"/>
  <c r="G8" i="15"/>
  <c r="M13" i="15" s="1"/>
  <c r="F8" i="15"/>
  <c r="M12" i="15" s="1"/>
  <c r="E8" i="15"/>
  <c r="M11" i="15" s="1"/>
  <c r="D8" i="15"/>
  <c r="M10" i="15" s="1"/>
  <c r="C8" i="15"/>
  <c r="M9" i="15" s="1"/>
  <c r="B8" i="15"/>
  <c r="M8" i="15" s="1"/>
  <c r="P44" i="15" l="1"/>
  <c r="D38" i="25"/>
  <c r="D40" i="25" s="1"/>
  <c r="R40" i="15"/>
  <c r="P41" i="15"/>
  <c r="P42" i="15"/>
  <c r="P43" i="15"/>
  <c r="J38" i="25"/>
  <c r="J40" i="25" s="1"/>
  <c r="R44" i="15"/>
  <c r="D15" i="14"/>
  <c r="F15" i="14"/>
  <c r="E15" i="14"/>
  <c r="D25" i="25"/>
  <c r="D10" i="14"/>
  <c r="E25" i="25"/>
  <c r="F25" i="25"/>
  <c r="G25" i="25"/>
  <c r="C146" i="1"/>
  <c r="D37" i="16" s="1"/>
  <c r="S28" i="12"/>
  <c r="Q28" i="12"/>
  <c r="S34" i="12"/>
  <c r="Q34" i="12"/>
  <c r="C185" i="1"/>
  <c r="F37" i="12"/>
  <c r="G37" i="12" s="1"/>
  <c r="K5" i="12" s="1"/>
  <c r="K11" i="12" s="1"/>
  <c r="E185" i="1"/>
  <c r="F10" i="14"/>
  <c r="E10" i="14"/>
  <c r="E23" i="28" s="1"/>
  <c r="E29" i="12" l="1"/>
  <c r="F38" i="25"/>
  <c r="F40" i="25" s="1"/>
  <c r="R42" i="15"/>
  <c r="E38" i="25"/>
  <c r="E40" i="25" s="1"/>
  <c r="R41" i="15"/>
  <c r="G38" i="25"/>
  <c r="G40" i="25" s="1"/>
  <c r="R43" i="15"/>
  <c r="C40" i="12"/>
  <c r="S27" i="12"/>
  <c r="Q27" i="12"/>
  <c r="E23" i="12"/>
  <c r="C5" i="7"/>
  <c r="B2" i="7"/>
  <c r="J19" i="7" l="1" a="1"/>
  <c r="J19" i="7" s="1"/>
  <c r="B11" i="7" a="1"/>
  <c r="B11" i="7" s="1"/>
  <c r="K36" i="7"/>
  <c r="K39" i="12"/>
  <c r="J13" i="7" a="1"/>
  <c r="J13" i="7" s="1"/>
  <c r="D33" i="7" a="1"/>
  <c r="D33" i="7" s="1"/>
  <c r="F33" i="7" s="1"/>
  <c r="G33" i="7" s="1"/>
  <c r="D32" i="7"/>
  <c r="D31" i="7"/>
  <c r="C32" i="7"/>
  <c r="C31" i="7"/>
  <c r="J29" i="7" a="1"/>
  <c r="J29" i="7" s="1"/>
  <c r="J25" i="7" a="1"/>
  <c r="J25" i="7" s="1"/>
  <c r="J22" i="7" a="1"/>
  <c r="J22" i="7" s="1"/>
  <c r="B12" i="12" a="1"/>
  <c r="B12" i="12" s="1"/>
  <c r="K22" i="12" s="1"/>
  <c r="E18" i="14"/>
  <c r="E13" i="14"/>
  <c r="F13" i="14"/>
  <c r="D18" i="14"/>
  <c r="F18" i="14"/>
  <c r="D13" i="14"/>
  <c r="D11" i="14"/>
  <c r="E11" i="14"/>
  <c r="F16" i="14"/>
  <c r="F11" i="14"/>
  <c r="D16" i="14"/>
  <c r="E16" i="14"/>
  <c r="F17" i="14"/>
  <c r="E17" i="14"/>
  <c r="D12" i="14"/>
  <c r="F12" i="14"/>
  <c r="D17" i="14"/>
  <c r="E12" i="14"/>
  <c r="J38" i="7"/>
  <c r="E39" i="7"/>
  <c r="E49" i="12"/>
  <c r="E45" i="12"/>
  <c r="E46" i="7"/>
  <c r="E42" i="7"/>
  <c r="E43" i="7"/>
  <c r="E52" i="12"/>
  <c r="E45" i="7"/>
  <c r="E51" i="12"/>
  <c r="E38" i="7"/>
  <c r="K60" i="12" a="1"/>
  <c r="K60" i="12" s="1"/>
  <c r="K57" i="7" a="1"/>
  <c r="K57" i="7" s="1"/>
  <c r="D30" i="22" s="1"/>
  <c r="K52" i="7"/>
  <c r="B7" i="7" a="1"/>
  <c r="B7" i="7" s="1"/>
  <c r="K45" i="7" a="1"/>
  <c r="K45" i="7" s="1"/>
  <c r="C37" i="38" s="1"/>
  <c r="J26" i="7" a="1"/>
  <c r="J26" i="7" s="1"/>
  <c r="C25" i="7"/>
  <c r="C20" i="7"/>
  <c r="B5" i="7" a="1"/>
  <c r="B5" i="7" s="1"/>
  <c r="B6" i="7" s="1" a="1"/>
  <c r="B6" i="7" s="1"/>
  <c r="C26" i="7"/>
  <c r="C24" i="7"/>
  <c r="C23" i="7"/>
  <c r="C19" i="7"/>
  <c r="C18" i="7"/>
  <c r="C17" i="7"/>
  <c r="J11" i="7" a="1"/>
  <c r="J11" i="7" s="1"/>
  <c r="J12" i="7" a="1"/>
  <c r="J12" i="7" s="1"/>
  <c r="J28" i="7" a="1"/>
  <c r="J28" i="7" s="1"/>
  <c r="E23" i="7"/>
  <c r="J32" i="7" a="1"/>
  <c r="J32" i="7" s="1"/>
  <c r="J31" i="7" a="1"/>
  <c r="J31" i="7" s="1"/>
  <c r="J23" i="7" a="1"/>
  <c r="J23" i="7" s="1"/>
  <c r="J10" i="7" a="1"/>
  <c r="J10" i="7" s="1"/>
  <c r="J15" i="7" a="1"/>
  <c r="J15" i="7" s="1"/>
  <c r="C35" i="38" s="1"/>
  <c r="D82" i="1"/>
  <c r="E12" i="16" s="1"/>
  <c r="E82" i="1"/>
  <c r="F12" i="16" s="1"/>
  <c r="D18" i="7"/>
  <c r="D19" i="7"/>
  <c r="D17" i="7"/>
  <c r="D20" i="7"/>
  <c r="D32" i="11"/>
  <c r="E31" i="12" l="1"/>
  <c r="E26" i="12"/>
  <c r="E30" i="12"/>
  <c r="E32" i="12"/>
  <c r="E25" i="7"/>
  <c r="K28" i="7"/>
  <c r="E26" i="7"/>
  <c r="K29" i="7"/>
  <c r="F31" i="7"/>
  <c r="C34" i="7"/>
  <c r="F32" i="7"/>
  <c r="G32" i="7" s="1"/>
  <c r="K6" i="7" s="1"/>
  <c r="K12" i="7" s="1"/>
  <c r="E24" i="28"/>
  <c r="E24" i="12"/>
  <c r="E25" i="12"/>
  <c r="E25" i="28"/>
  <c r="E24" i="7"/>
  <c r="E26" i="28"/>
  <c r="S27" i="28"/>
  <c r="F32" i="28"/>
  <c r="G32" i="28" s="1"/>
  <c r="K6" i="28" s="1"/>
  <c r="K12" i="28" s="1"/>
  <c r="Q27" i="28"/>
  <c r="K26" i="7"/>
  <c r="K25" i="7"/>
  <c r="K38" i="7"/>
  <c r="L45" i="7"/>
  <c r="J45" i="7"/>
  <c r="Q21" i="12"/>
  <c r="S21" i="12"/>
  <c r="R21" i="7"/>
  <c r="P21" i="7"/>
  <c r="R30" i="7"/>
  <c r="P30" i="7"/>
  <c r="R28" i="7"/>
  <c r="P28" i="7"/>
  <c r="P24" i="7"/>
  <c r="Q24" i="7" s="1"/>
  <c r="R24" i="7"/>
  <c r="S24" i="7" s="1"/>
  <c r="R27" i="7"/>
  <c r="P27" i="7"/>
  <c r="R25" i="7"/>
  <c r="S25" i="7" s="1"/>
  <c r="P25" i="7"/>
  <c r="Q25" i="7" s="1"/>
  <c r="J52" i="7"/>
  <c r="L52" i="7"/>
  <c r="P29" i="7"/>
  <c r="R29" i="7"/>
  <c r="R18" i="7"/>
  <c r="P18" i="7"/>
  <c r="P22" i="7"/>
  <c r="R22" i="7"/>
  <c r="K53" i="7"/>
  <c r="D22" i="22"/>
  <c r="D12" i="16"/>
  <c r="B41" i="7"/>
  <c r="E17" i="7"/>
  <c r="D121" i="1"/>
  <c r="E121" i="1"/>
  <c r="E19" i="7"/>
  <c r="E18" i="7"/>
  <c r="E20" i="7"/>
  <c r="F39" i="12"/>
  <c r="G39" i="12" s="1"/>
  <c r="D34" i="11"/>
  <c r="G31" i="7" l="1"/>
  <c r="F34" i="7"/>
  <c r="C121" i="1"/>
  <c r="L57" i="7"/>
  <c r="E30" i="22" s="1"/>
  <c r="S34" i="7"/>
  <c r="Q34" i="7"/>
  <c r="J53" i="7"/>
  <c r="L53" i="7"/>
  <c r="J57" i="7"/>
  <c r="C30" i="22" s="1"/>
  <c r="C22" i="22"/>
  <c r="E22" i="22"/>
  <c r="D33" i="11"/>
  <c r="C34" i="11"/>
  <c r="D31" i="11"/>
  <c r="D108" i="1"/>
  <c r="G34" i="7" l="1"/>
  <c r="K5" i="7"/>
  <c r="K11" i="7" s="1"/>
  <c r="G172" i="1"/>
  <c r="E103" i="1"/>
  <c r="E108" i="1"/>
  <c r="K38" i="16" l="1"/>
  <c r="K33" i="16"/>
  <c r="F38" i="16"/>
  <c r="F33" i="16"/>
  <c r="E162" i="1"/>
  <c r="G162" i="1"/>
  <c r="K42" i="16" s="1"/>
  <c r="E15" i="38" l="1"/>
  <c r="E16" i="38" s="1"/>
  <c r="L58" i="11"/>
  <c r="F42" i="16"/>
  <c r="E38" i="16"/>
  <c r="E33" i="16"/>
  <c r="F38" i="12"/>
  <c r="G38" i="12" s="1"/>
  <c r="K6" i="12" s="1"/>
  <c r="K12" i="12" s="1"/>
  <c r="G40" i="12" l="1"/>
  <c r="F40" i="12"/>
  <c r="D13" i="16" l="1"/>
  <c r="D11" i="16" l="1"/>
  <c r="D81" i="1"/>
  <c r="G81" i="1"/>
  <c r="E81" i="1"/>
  <c r="E8" i="16" l="1"/>
  <c r="K8" i="16"/>
  <c r="F8" i="16"/>
  <c r="E13" i="16" l="1"/>
  <c r="K13" i="16"/>
  <c r="F13" i="16"/>
  <c r="E98" i="1"/>
  <c r="D98" i="1"/>
  <c r="K10" i="16" l="1"/>
  <c r="F11" i="16"/>
  <c r="F10" i="16"/>
  <c r="E11" i="16"/>
  <c r="E10" i="16"/>
  <c r="F17" i="16"/>
  <c r="D120" i="1"/>
  <c r="E17" i="16"/>
  <c r="K11" i="16" l="1"/>
  <c r="H9" i="8"/>
  <c r="H12" i="8" l="1"/>
  <c r="D33" i="16"/>
  <c r="E129" i="1"/>
  <c r="E78" i="1" s="1"/>
  <c r="D125" i="1"/>
  <c r="D38" i="16"/>
  <c r="E96" i="1" l="1"/>
  <c r="F16" i="16" s="1"/>
  <c r="D129" i="1"/>
  <c r="F9" i="16"/>
  <c r="Q18" i="12"/>
  <c r="S18" i="12"/>
  <c r="D36" i="16"/>
  <c r="D96" i="1" l="1"/>
  <c r="E16" i="16" s="1"/>
  <c r="D78" i="1"/>
  <c r="E9" i="16" s="1"/>
  <c r="S19" i="12"/>
  <c r="Q19" i="12"/>
  <c r="K35" i="16" l="1"/>
  <c r="D162" i="1"/>
  <c r="D15" i="38" l="1"/>
  <c r="D16" i="38" s="1"/>
  <c r="K58" i="11"/>
  <c r="K14" i="8"/>
  <c r="B10" i="12" a="1"/>
  <c r="B10" i="12" s="1"/>
  <c r="L39" i="12" s="1"/>
  <c r="E42" i="16"/>
  <c r="F36" i="16"/>
  <c r="F35" i="16"/>
  <c r="E36" i="16"/>
  <c r="E35" i="16"/>
  <c r="D184" i="1"/>
  <c r="E184" i="1"/>
  <c r="G184" i="1"/>
  <c r="G183" i="1" s="1"/>
  <c r="G189" i="1" s="1"/>
  <c r="G193" i="1" s="1"/>
  <c r="G160" i="1" s="1"/>
  <c r="K60" i="8" l="1"/>
  <c r="K61" i="8" s="1"/>
  <c r="K64" i="8" s="1"/>
  <c r="K68" i="8"/>
  <c r="K32" i="8"/>
  <c r="K33" i="8" s="1"/>
  <c r="K35" i="8" s="1"/>
  <c r="K28" i="8"/>
  <c r="E183" i="1"/>
  <c r="B43" i="12"/>
  <c r="B53" i="12" s="1"/>
  <c r="K36" i="16"/>
  <c r="D183" i="1"/>
  <c r="D189" i="1" s="1"/>
  <c r="D193" i="1" s="1"/>
  <c r="K41" i="16"/>
  <c r="E189" i="1" l="1"/>
  <c r="E193" i="1" s="1"/>
  <c r="B11" i="12" a="1"/>
  <c r="B11" i="12" s="1"/>
  <c r="B44" i="12"/>
  <c r="B51" i="12"/>
  <c r="B48" i="12"/>
  <c r="D160" i="1"/>
  <c r="E41" i="16" s="1"/>
  <c r="K12" i="8"/>
  <c r="D142" i="1"/>
  <c r="E34" i="16" s="1"/>
  <c r="G142" i="1"/>
  <c r="K34" i="16" s="1"/>
  <c r="E160" i="1" l="1"/>
  <c r="F41" i="16" s="1"/>
  <c r="E142" i="1"/>
  <c r="F34" i="16" s="1"/>
  <c r="S27" i="7"/>
  <c r="Q27" i="7"/>
  <c r="C33" i="11" l="1"/>
  <c r="C162" i="1"/>
  <c r="C108" i="1"/>
  <c r="D19" i="16"/>
  <c r="C32" i="11"/>
  <c r="D20" i="16"/>
  <c r="D21" i="16"/>
  <c r="C184" i="1" l="1"/>
  <c r="C15" i="38"/>
  <c r="C16" i="38" s="1"/>
  <c r="J58" i="11"/>
  <c r="K53" i="8"/>
  <c r="N56" i="11" s="1"/>
  <c r="D46" i="16"/>
  <c r="J31" i="11"/>
  <c r="J33" i="11"/>
  <c r="C183" i="1"/>
  <c r="D42" i="16"/>
  <c r="L30" i="12"/>
  <c r="J32" i="11"/>
  <c r="D45" i="16"/>
  <c r="D44" i="16"/>
  <c r="N54" i="11" l="1"/>
  <c r="N52" i="11"/>
  <c r="K56" i="11"/>
  <c r="K52" i="11" s="1"/>
  <c r="L56" i="11"/>
  <c r="L41" i="12"/>
  <c r="L35" i="12"/>
  <c r="L34" i="12"/>
  <c r="L36" i="12"/>
  <c r="J56" i="11"/>
  <c r="J54" i="11" s="1"/>
  <c r="M56" i="11"/>
  <c r="L22" i="12"/>
  <c r="K69" i="8"/>
  <c r="K70" i="8" s="1"/>
  <c r="L49" i="11"/>
  <c r="L20" i="12"/>
  <c r="L29" i="12"/>
  <c r="L26" i="12"/>
  <c r="L25" i="12"/>
  <c r="L28" i="12"/>
  <c r="L19" i="12"/>
  <c r="K63" i="8"/>
  <c r="K33" i="12" s="1"/>
  <c r="C50" i="17" s="1"/>
  <c r="K54" i="8"/>
  <c r="K56" i="8" s="1"/>
  <c r="K54" i="11" l="1"/>
  <c r="L42" i="11"/>
  <c r="L59" i="11" s="1"/>
  <c r="L48" i="11"/>
  <c r="L47" i="11"/>
  <c r="L45" i="11"/>
  <c r="L54" i="11"/>
  <c r="L52" i="11"/>
  <c r="M49" i="11"/>
  <c r="M48" i="11" s="1"/>
  <c r="K49" i="11"/>
  <c r="J52" i="11"/>
  <c r="M54" i="11"/>
  <c r="M52" i="11"/>
  <c r="N49" i="11"/>
  <c r="N42" i="11" s="1"/>
  <c r="N59" i="11" s="1"/>
  <c r="J49" i="11"/>
  <c r="J42" i="11" s="1"/>
  <c r="J59" i="11" s="1"/>
  <c r="F44" i="12"/>
  <c r="G44" i="12" s="1"/>
  <c r="J18" i="22"/>
  <c r="C189" i="1"/>
  <c r="B13" i="12" s="1" a="1"/>
  <c r="B13" i="12" s="1"/>
  <c r="K23" i="12" s="1"/>
  <c r="K20" i="8"/>
  <c r="K21" i="8" s="1"/>
  <c r="N48" i="11" l="1"/>
  <c r="N45" i="11"/>
  <c r="C48" i="17"/>
  <c r="K32" i="12"/>
  <c r="K31" i="12"/>
  <c r="N47" i="11"/>
  <c r="M45" i="11"/>
  <c r="M47" i="11"/>
  <c r="M42" i="11"/>
  <c r="S22" i="12"/>
  <c r="S30" i="12" s="1"/>
  <c r="L46" i="11"/>
  <c r="L50" i="11" s="1"/>
  <c r="L40" i="11"/>
  <c r="L38" i="11"/>
  <c r="L41" i="11"/>
  <c r="L55" i="11" s="1"/>
  <c r="L53" i="11" s="1"/>
  <c r="L57" i="11" s="1"/>
  <c r="K45" i="11"/>
  <c r="K42" i="11"/>
  <c r="K59" i="11" s="1"/>
  <c r="K47" i="11"/>
  <c r="K48" i="11"/>
  <c r="N38" i="11"/>
  <c r="N40" i="11"/>
  <c r="N41" i="11"/>
  <c r="N55" i="11" s="1"/>
  <c r="N53" i="11" s="1"/>
  <c r="N57" i="11" s="1"/>
  <c r="N46" i="11"/>
  <c r="N50" i="11" s="1"/>
  <c r="J48" i="11"/>
  <c r="J47" i="11"/>
  <c r="J45" i="11"/>
  <c r="B31" i="12"/>
  <c r="B29" i="12"/>
  <c r="F29" i="12" s="1"/>
  <c r="G29" i="12" s="1"/>
  <c r="F48" i="12"/>
  <c r="G48" i="12" s="1"/>
  <c r="B49" i="12"/>
  <c r="F49" i="12" s="1"/>
  <c r="G49" i="12" s="1"/>
  <c r="B52" i="12"/>
  <c r="F52" i="12" s="1"/>
  <c r="G52" i="12" s="1"/>
  <c r="F51" i="12"/>
  <c r="G51" i="12" s="1"/>
  <c r="C193" i="1"/>
  <c r="C160" i="1" s="1"/>
  <c r="B45" i="12"/>
  <c r="M46" i="11" l="1"/>
  <c r="M50" i="11" s="1"/>
  <c r="M41" i="11"/>
  <c r="M55" i="11" s="1"/>
  <c r="M53" i="11" s="1"/>
  <c r="M57" i="11" s="1"/>
  <c r="M59" i="11"/>
  <c r="M40" i="11"/>
  <c r="C49" i="17"/>
  <c r="C51" i="17" s="1"/>
  <c r="C63" i="17" s="1"/>
  <c r="C64" i="17" s="1"/>
  <c r="M38" i="11"/>
  <c r="S29" i="12"/>
  <c r="K46" i="11"/>
  <c r="K50" i="11" s="1"/>
  <c r="L39" i="11"/>
  <c r="L43" i="11" s="1"/>
  <c r="K40" i="11"/>
  <c r="K38" i="11"/>
  <c r="K41" i="11"/>
  <c r="K55" i="11" s="1"/>
  <c r="K53" i="11" s="1"/>
  <c r="K57" i="11" s="1"/>
  <c r="D41" i="16"/>
  <c r="C142" i="1"/>
  <c r="D35" i="16" s="1"/>
  <c r="M39" i="11"/>
  <c r="M43" i="11" s="1"/>
  <c r="N39" i="11"/>
  <c r="N43" i="11" s="1"/>
  <c r="J38" i="11"/>
  <c r="J41" i="11"/>
  <c r="J55" i="11" s="1"/>
  <c r="J53" i="11" s="1"/>
  <c r="J57" i="11" s="1"/>
  <c r="J40" i="11"/>
  <c r="J46" i="11"/>
  <c r="J50" i="11" s="1"/>
  <c r="Q22" i="12"/>
  <c r="B12" i="7" a="1"/>
  <c r="B12" i="7" s="1"/>
  <c r="K22" i="7" s="1"/>
  <c r="F45" i="12"/>
  <c r="K39" i="11" l="1"/>
  <c r="K43" i="11" s="1"/>
  <c r="D34" i="16"/>
  <c r="J39" i="11"/>
  <c r="J43" i="11" s="1"/>
  <c r="L23" i="12"/>
  <c r="L32" i="12"/>
  <c r="Q30" i="12"/>
  <c r="Q29" i="12"/>
  <c r="Q21" i="7"/>
  <c r="S21" i="7"/>
  <c r="G45" i="12"/>
  <c r="G53" i="12" s="1"/>
  <c r="K7" i="12" s="1"/>
  <c r="K13" i="12" s="1"/>
  <c r="F53" i="12"/>
  <c r="L31" i="12" l="1"/>
  <c r="D63" i="17" l="1"/>
  <c r="E63" i="17" s="1"/>
  <c r="D64" i="17" l="1"/>
  <c r="E64" i="17"/>
  <c r="F63" i="17"/>
  <c r="F64" i="17" l="1"/>
  <c r="G63" i="17"/>
  <c r="G64" i="17" l="1"/>
  <c r="H63" i="17"/>
  <c r="H64" i="17" l="1"/>
  <c r="I63" i="17"/>
  <c r="I64" i="17" l="1"/>
  <c r="J63" i="17"/>
  <c r="J64" i="17" l="1"/>
  <c r="K63" i="17"/>
  <c r="K64" i="17" l="1"/>
  <c r="L63" i="17"/>
  <c r="L64" i="17" l="1"/>
  <c r="M63" i="17"/>
  <c r="M64" i="17" l="1"/>
  <c r="N63" i="17"/>
  <c r="O63" i="17" l="1"/>
  <c r="N64" i="17"/>
  <c r="P63" i="17" l="1"/>
  <c r="O64" i="17"/>
  <c r="Q63" i="17" l="1"/>
  <c r="P64" i="17"/>
  <c r="R63" i="17" l="1"/>
  <c r="Q64" i="17"/>
  <c r="S63" i="17" l="1"/>
  <c r="R64" i="17"/>
  <c r="T63" i="17" l="1"/>
  <c r="S64" i="17"/>
  <c r="U63" i="17" l="1"/>
  <c r="T64" i="17"/>
  <c r="V63" i="17" l="1"/>
  <c r="U64" i="17"/>
  <c r="W63" i="17" l="1"/>
  <c r="V64" i="17"/>
  <c r="X63" i="17" l="1"/>
  <c r="W64" i="17"/>
  <c r="Y63" i="17" l="1"/>
  <c r="X64" i="17"/>
  <c r="Z63" i="17" l="1"/>
  <c r="Y64" i="17"/>
  <c r="AA63" i="17" l="1"/>
  <c r="Z64" i="17"/>
  <c r="AB63" i="17" l="1"/>
  <c r="AA64" i="17"/>
  <c r="AC63" i="17" l="1"/>
  <c r="AB64" i="17"/>
  <c r="AD63" i="17" l="1"/>
  <c r="AC64" i="17"/>
  <c r="AE63" i="17" l="1"/>
  <c r="AD64" i="17"/>
  <c r="AF63" i="17" l="1"/>
  <c r="AE64" i="17"/>
  <c r="AF64" i="17" l="1"/>
  <c r="AG63" i="17"/>
  <c r="AG64" i="17" l="1"/>
  <c r="AH63" i="17"/>
  <c r="AG43" i="17"/>
  <c r="AH64" i="17" l="1"/>
  <c r="AI63" i="17"/>
  <c r="AH43" i="17"/>
  <c r="AI64" i="17" l="1"/>
  <c r="AJ63" i="17"/>
  <c r="AI43" i="17"/>
  <c r="AJ64" i="17" l="1"/>
  <c r="AK63" i="17"/>
  <c r="AJ43" i="17"/>
  <c r="AK64" i="17" l="1"/>
  <c r="AL63" i="17"/>
  <c r="AL64" i="17" s="1"/>
  <c r="AK43" i="17"/>
  <c r="K37" i="12" l="1"/>
  <c r="AL43" i="17"/>
  <c r="S32" i="12" l="1"/>
  <c r="Q32" i="12"/>
  <c r="L37" i="12"/>
  <c r="B23" i="12" l="1"/>
  <c r="B26" i="12" l="1"/>
  <c r="F26" i="12" s="1"/>
  <c r="G26" i="12" s="1"/>
  <c r="B25" i="12"/>
  <c r="F25" i="12" s="1"/>
  <c r="G25" i="12" s="1"/>
  <c r="B19" i="12"/>
  <c r="F19" i="12" s="1"/>
  <c r="G19" i="12" s="1"/>
  <c r="F31" i="12"/>
  <c r="G31" i="12" s="1"/>
  <c r="F23" i="12"/>
  <c r="B24" i="12" l="1"/>
  <c r="F24" i="12" s="1"/>
  <c r="G24" i="12" s="1"/>
  <c r="B17" i="12"/>
  <c r="B30" i="12"/>
  <c r="F30" i="12" s="1"/>
  <c r="B32" i="12"/>
  <c r="F32" i="12" s="1"/>
  <c r="G32" i="12" s="1"/>
  <c r="B20" i="12"/>
  <c r="F20" i="12" s="1"/>
  <c r="G20" i="12" s="1"/>
  <c r="G23" i="12"/>
  <c r="F17" i="12" l="1"/>
  <c r="G17" i="12" s="1"/>
  <c r="F27" i="12"/>
  <c r="E33" i="12"/>
  <c r="E27" i="12"/>
  <c r="G27" i="12"/>
  <c r="B27" i="12"/>
  <c r="B18" i="12"/>
  <c r="F18" i="12" s="1"/>
  <c r="G18" i="12" s="1"/>
  <c r="B33" i="12"/>
  <c r="G30" i="12"/>
  <c r="G33" i="12" s="1"/>
  <c r="F33" i="12"/>
  <c r="E21" i="12" l="1"/>
  <c r="K4" i="12"/>
  <c r="G21" i="12"/>
  <c r="K3" i="12" s="1"/>
  <c r="B21" i="12"/>
  <c r="C21" i="12"/>
  <c r="F21" i="12"/>
  <c r="F34" i="12" s="1"/>
  <c r="C33" i="12"/>
  <c r="C27" i="12"/>
  <c r="D21" i="12"/>
  <c r="C42" i="38" l="1"/>
  <c r="G34" i="12"/>
  <c r="G55" i="12" s="1"/>
  <c r="K10" i="12"/>
  <c r="C43" i="38" s="1"/>
  <c r="K8" i="12"/>
  <c r="C44" i="38" l="1"/>
  <c r="C46" i="38" s="1"/>
  <c r="C48" i="38" s="1"/>
  <c r="K14" i="12"/>
  <c r="K15" i="12" s="1"/>
  <c r="K16" i="12" s="1"/>
  <c r="H23" i="29"/>
  <c r="F32" i="1" s="1"/>
  <c r="F21" i="1" s="1"/>
  <c r="I23" i="29"/>
  <c r="G32" i="1" s="1"/>
  <c r="G21" i="1" s="1"/>
  <c r="C50" i="38" l="1"/>
  <c r="D60" i="38"/>
  <c r="K49" i="12"/>
  <c r="F6" i="35"/>
  <c r="J49" i="12"/>
  <c r="L49" i="12"/>
  <c r="E10" i="8"/>
  <c r="G20" i="1"/>
  <c r="G59" i="1"/>
  <c r="G57" i="1" s="1"/>
  <c r="G63" i="1" s="1"/>
  <c r="G67" i="1" s="1"/>
  <c r="G34" i="1" s="1"/>
  <c r="F20" i="1"/>
  <c r="F59" i="1"/>
  <c r="F57" i="1" s="1"/>
  <c r="F63" i="1" s="1"/>
  <c r="I65" i="29"/>
  <c r="G94" i="1" s="1"/>
  <c r="G83" i="1" s="1"/>
  <c r="I13" i="29"/>
  <c r="H65" i="29"/>
  <c r="F94" i="1" s="1"/>
  <c r="F83" i="1" s="1"/>
  <c r="H13" i="29"/>
  <c r="D61" i="38" l="1"/>
  <c r="D62" i="38" s="1"/>
  <c r="D63" i="38" s="1"/>
  <c r="D64" i="38" s="1"/>
  <c r="D65" i="38" s="1"/>
  <c r="D66" i="38" s="1"/>
  <c r="D67" i="38" s="1"/>
  <c r="D68" i="38" s="1"/>
  <c r="D69" i="38" s="1"/>
  <c r="D70" i="38" s="1"/>
  <c r="D71" i="38" s="1"/>
  <c r="D72" i="38" s="1"/>
  <c r="D73" i="38" s="1"/>
  <c r="D74" i="38" s="1"/>
  <c r="D75" i="38" s="1"/>
  <c r="D76" i="38" s="1"/>
  <c r="D77" i="38" s="1"/>
  <c r="D78" i="38" s="1"/>
  <c r="D79" i="38" s="1"/>
  <c r="F67" i="1"/>
  <c r="F34" i="1" s="1"/>
  <c r="B13" i="28" a="1"/>
  <c r="B13" i="28" s="1"/>
  <c r="K23" i="28" s="1"/>
  <c r="L23" i="28" s="1"/>
  <c r="E13" i="8"/>
  <c r="E33" i="8"/>
  <c r="H10" i="8"/>
  <c r="K15" i="8" s="1"/>
  <c r="S28" i="28"/>
  <c r="Q28" i="28"/>
  <c r="G121" i="1"/>
  <c r="G119" i="1" s="1"/>
  <c r="G125" i="1" s="1"/>
  <c r="G129" i="1" s="1"/>
  <c r="G82" i="1"/>
  <c r="K12" i="16" s="1"/>
  <c r="F82" i="1"/>
  <c r="J12" i="16" s="1"/>
  <c r="G16" i="1"/>
  <c r="H12" i="29"/>
  <c r="H55" i="29"/>
  <c r="I12" i="29"/>
  <c r="I55" i="29"/>
  <c r="D85" i="38" l="1"/>
  <c r="K38" i="12" s="1"/>
  <c r="K40" i="12" s="1"/>
  <c r="F16" i="1"/>
  <c r="K19" i="8"/>
  <c r="K16" i="8"/>
  <c r="K31" i="28"/>
  <c r="K32" i="28"/>
  <c r="C6" i="17"/>
  <c r="F121" i="1"/>
  <c r="B44" i="7"/>
  <c r="F45" i="7" s="1"/>
  <c r="G45" i="7" s="1"/>
  <c r="S28" i="7"/>
  <c r="Q28" i="7"/>
  <c r="G31" i="28"/>
  <c r="K5" i="28" s="1"/>
  <c r="F34" i="28"/>
  <c r="H13" i="8"/>
  <c r="G96" i="1"/>
  <c r="K16" i="16" s="1"/>
  <c r="G78" i="1"/>
  <c r="K9" i="16" s="1"/>
  <c r="I54" i="29"/>
  <c r="Q12" i="29"/>
  <c r="H54" i="29"/>
  <c r="P12" i="29"/>
  <c r="AH42" i="17"/>
  <c r="AI42" i="17"/>
  <c r="AJ42" i="17"/>
  <c r="AK42" i="17"/>
  <c r="AL42" i="17"/>
  <c r="AG42" i="17"/>
  <c r="D15" i="16"/>
  <c r="C89" i="1"/>
  <c r="E60" i="29" s="1"/>
  <c r="C77" i="1"/>
  <c r="L38" i="12" l="1"/>
  <c r="C7" i="17"/>
  <c r="K11" i="28"/>
  <c r="G34" i="28"/>
  <c r="F119" i="1"/>
  <c r="F125" i="1" s="1"/>
  <c r="F129" i="1" s="1"/>
  <c r="B40" i="7"/>
  <c r="C98" i="1"/>
  <c r="C80" i="1"/>
  <c r="D10" i="16" s="1"/>
  <c r="D17" i="16"/>
  <c r="H14" i="8"/>
  <c r="L30" i="28"/>
  <c r="D14" i="16"/>
  <c r="B9" i="7" a="1"/>
  <c r="B9" i="7" s="1"/>
  <c r="K19" i="7" s="1"/>
  <c r="D8" i="16"/>
  <c r="K20" i="7" l="1"/>
  <c r="H32" i="8"/>
  <c r="H33" i="8" s="1"/>
  <c r="H35" i="8" s="1"/>
  <c r="K33" i="7" s="1"/>
  <c r="C29" i="17" s="1"/>
  <c r="H28" i="8"/>
  <c r="C51" i="11"/>
  <c r="B10" i="7" a="1"/>
  <c r="B10" i="7" s="1"/>
  <c r="F78" i="1"/>
  <c r="J9" i="16" s="1"/>
  <c r="F96" i="1"/>
  <c r="J16" i="16" s="1"/>
  <c r="S18" i="28"/>
  <c r="Q18" i="28"/>
  <c r="E35" i="8"/>
  <c r="K33" i="28" s="1"/>
  <c r="C8" i="17" s="1"/>
  <c r="C9" i="17" s="1"/>
  <c r="G23" i="11"/>
  <c r="G16" i="11" s="1"/>
  <c r="G49" i="11"/>
  <c r="S18" i="7"/>
  <c r="Q18" i="7"/>
  <c r="C119" i="1"/>
  <c r="B37" i="7"/>
  <c r="L25" i="28"/>
  <c r="L28" i="28"/>
  <c r="L22" i="28"/>
  <c r="L26" i="28"/>
  <c r="L29" i="28"/>
  <c r="L30" i="7" l="1"/>
  <c r="L36" i="7"/>
  <c r="C21" i="17"/>
  <c r="C22" i="17" s="1"/>
  <c r="B47" i="7"/>
  <c r="B38" i="7"/>
  <c r="F38" i="7" s="1"/>
  <c r="L38" i="7"/>
  <c r="L22" i="7"/>
  <c r="L29" i="7"/>
  <c r="L28" i="7"/>
  <c r="L26" i="7"/>
  <c r="L25" i="7"/>
  <c r="G42" i="11"/>
  <c r="G45" i="11"/>
  <c r="G47" i="11"/>
  <c r="G48" i="11"/>
  <c r="G19" i="11"/>
  <c r="G20" i="11" s="1"/>
  <c r="G24" i="11" s="1"/>
  <c r="G22" i="11"/>
  <c r="G21" i="11"/>
  <c r="E23" i="11"/>
  <c r="E16" i="11" s="1"/>
  <c r="F23" i="11"/>
  <c r="F16" i="11" s="1"/>
  <c r="E49" i="11"/>
  <c r="E48" i="11" s="1"/>
  <c r="F49" i="11"/>
  <c r="C49" i="11"/>
  <c r="C48" i="11" s="1"/>
  <c r="D49" i="11"/>
  <c r="C23" i="11"/>
  <c r="D23" i="11"/>
  <c r="D16" i="11" s="1"/>
  <c r="L20" i="7"/>
  <c r="L19" i="7"/>
  <c r="E17" i="22"/>
  <c r="Q19" i="28"/>
  <c r="D17" i="22"/>
  <c r="B45" i="7"/>
  <c r="B46" i="7" s="1"/>
  <c r="F46" i="7" s="1"/>
  <c r="G46" i="7" s="1"/>
  <c r="B42" i="7"/>
  <c r="C125" i="1"/>
  <c r="I18" i="22"/>
  <c r="H18" i="22"/>
  <c r="B46" i="28"/>
  <c r="F46" i="28" s="1"/>
  <c r="G46" i="28" s="1"/>
  <c r="L20" i="28"/>
  <c r="L19" i="28"/>
  <c r="S19" i="7"/>
  <c r="C17" i="22"/>
  <c r="Q19" i="7"/>
  <c r="S19" i="28"/>
  <c r="C21" i="11" l="1"/>
  <c r="C16" i="11"/>
  <c r="C12" i="11" s="1"/>
  <c r="D21" i="17"/>
  <c r="F7" i="36"/>
  <c r="K50" i="12"/>
  <c r="K51" i="12" s="1"/>
  <c r="E21" i="11"/>
  <c r="F7" i="35"/>
  <c r="E19" i="11"/>
  <c r="E22" i="11"/>
  <c r="G26" i="11"/>
  <c r="G15" i="11"/>
  <c r="G14" i="11"/>
  <c r="G12" i="11"/>
  <c r="G46" i="11"/>
  <c r="G50" i="11" s="1"/>
  <c r="G40" i="11"/>
  <c r="G41" i="11"/>
  <c r="G52" i="11"/>
  <c r="G38" i="11"/>
  <c r="E45" i="11"/>
  <c r="E42" i="11"/>
  <c r="E38" i="11" s="1"/>
  <c r="E47" i="11"/>
  <c r="C19" i="11"/>
  <c r="C22" i="11"/>
  <c r="C47" i="11"/>
  <c r="C45" i="11"/>
  <c r="C42" i="11"/>
  <c r="C38" i="11" s="1"/>
  <c r="F48" i="11"/>
  <c r="F45" i="11"/>
  <c r="F47" i="11"/>
  <c r="F42" i="11"/>
  <c r="F22" i="11"/>
  <c r="F21" i="11"/>
  <c r="F19" i="11"/>
  <c r="E14" i="11"/>
  <c r="E12" i="11"/>
  <c r="E26" i="11"/>
  <c r="E15" i="11"/>
  <c r="D47" i="11"/>
  <c r="D45" i="11"/>
  <c r="D42" i="11"/>
  <c r="D48" i="11"/>
  <c r="D22" i="11"/>
  <c r="D19" i="11"/>
  <c r="D21" i="11"/>
  <c r="K42" i="12"/>
  <c r="L40" i="12"/>
  <c r="L57" i="12"/>
  <c r="L58" i="12" s="1"/>
  <c r="J57" i="12"/>
  <c r="J58" i="12" s="1"/>
  <c r="K57" i="12"/>
  <c r="L50" i="12"/>
  <c r="L51" i="12" s="1"/>
  <c r="E26" i="22" s="1"/>
  <c r="J50" i="12"/>
  <c r="J51" i="12" s="1"/>
  <c r="C26" i="22" s="1"/>
  <c r="B39" i="28"/>
  <c r="F39" i="28" s="1"/>
  <c r="B39" i="7"/>
  <c r="F39" i="7" s="1"/>
  <c r="G39" i="7" s="1"/>
  <c r="G38" i="7"/>
  <c r="B13" i="7" a="1"/>
  <c r="B13" i="7" s="1"/>
  <c r="K23" i="7" s="1"/>
  <c r="L23" i="7" s="1"/>
  <c r="C129" i="1"/>
  <c r="C96" i="1" s="1"/>
  <c r="F42" i="7"/>
  <c r="G42" i="7" s="1"/>
  <c r="B43" i="7"/>
  <c r="F43" i="7" s="1"/>
  <c r="G43" i="7" s="1"/>
  <c r="S31" i="28"/>
  <c r="Q31" i="28"/>
  <c r="L33" i="28"/>
  <c r="Q31" i="7"/>
  <c r="L33" i="7"/>
  <c r="S31" i="7"/>
  <c r="B43" i="28"/>
  <c r="F43" i="28" s="1"/>
  <c r="G43" i="28" s="1"/>
  <c r="L33" i="12"/>
  <c r="Q31" i="12"/>
  <c r="Q33" i="12" s="1"/>
  <c r="Q35" i="12" s="1"/>
  <c r="J61" i="12" s="1"/>
  <c r="S31" i="12"/>
  <c r="S33" i="12" s="1"/>
  <c r="S35" i="12" s="1"/>
  <c r="L61" i="12" s="1"/>
  <c r="C14" i="11" l="1"/>
  <c r="B26" i="7"/>
  <c r="F26" i="7" s="1"/>
  <c r="G26" i="7" s="1"/>
  <c r="C46" i="11"/>
  <c r="C50" i="11" s="1"/>
  <c r="B23" i="28"/>
  <c r="F23" i="28" s="1"/>
  <c r="G39" i="28"/>
  <c r="G47" i="28" s="1"/>
  <c r="K7" i="28" s="1"/>
  <c r="K13" i="28" s="1"/>
  <c r="F47" i="28"/>
  <c r="D22" i="17"/>
  <c r="E21" i="17"/>
  <c r="K31" i="7"/>
  <c r="K32" i="7"/>
  <c r="C27" i="17"/>
  <c r="G13" i="11"/>
  <c r="G17" i="11" s="1"/>
  <c r="C15" i="11"/>
  <c r="C20" i="11"/>
  <c r="C24" i="11" s="1"/>
  <c r="C26" i="11"/>
  <c r="E20" i="11"/>
  <c r="E24" i="11" s="1"/>
  <c r="K58" i="12"/>
  <c r="P10" i="8" s="1"/>
  <c r="F8" i="35"/>
  <c r="F11" i="35" s="1"/>
  <c r="F8" i="36"/>
  <c r="E46" i="11"/>
  <c r="E50" i="11" s="1"/>
  <c r="E52" i="11"/>
  <c r="F10" i="35"/>
  <c r="E40" i="11"/>
  <c r="E41" i="11"/>
  <c r="B25" i="28"/>
  <c r="F25" i="28" s="1"/>
  <c r="G25" i="28" s="1"/>
  <c r="B25" i="7"/>
  <c r="F25" i="7" s="1"/>
  <c r="G25" i="7" s="1"/>
  <c r="B23" i="7"/>
  <c r="F23" i="7" s="1"/>
  <c r="G39" i="11"/>
  <c r="G43" i="11" s="1"/>
  <c r="C41" i="11"/>
  <c r="C40" i="11"/>
  <c r="C52" i="11"/>
  <c r="B26" i="28"/>
  <c r="F26" i="28" s="1"/>
  <c r="G26" i="28" s="1"/>
  <c r="F26" i="11"/>
  <c r="F14" i="11"/>
  <c r="F12" i="11"/>
  <c r="F15" i="11"/>
  <c r="F20" i="11"/>
  <c r="F24" i="11" s="1"/>
  <c r="F41" i="11"/>
  <c r="F38" i="11"/>
  <c r="F52" i="11"/>
  <c r="F40" i="11"/>
  <c r="F46" i="11"/>
  <c r="F50" i="11" s="1"/>
  <c r="E13" i="11"/>
  <c r="E17" i="11" s="1"/>
  <c r="D26" i="11"/>
  <c r="D14" i="11"/>
  <c r="D12" i="11"/>
  <c r="D15" i="11"/>
  <c r="D20" i="11"/>
  <c r="D24" i="11" s="1"/>
  <c r="D46" i="11"/>
  <c r="D50" i="11" s="1"/>
  <c r="D41" i="11"/>
  <c r="D52" i="11"/>
  <c r="D40" i="11"/>
  <c r="D38" i="11"/>
  <c r="P9" i="8"/>
  <c r="D26" i="22"/>
  <c r="E35" i="22"/>
  <c r="L62" i="12"/>
  <c r="E40" i="22" s="1"/>
  <c r="C35" i="22"/>
  <c r="J62" i="12"/>
  <c r="C40" i="22" s="1"/>
  <c r="K61" i="12"/>
  <c r="L42" i="12"/>
  <c r="D16" i="16"/>
  <c r="C78" i="1"/>
  <c r="D9" i="16" s="1"/>
  <c r="F47" i="7"/>
  <c r="S22" i="7"/>
  <c r="Q22" i="7"/>
  <c r="Q22" i="28"/>
  <c r="S22" i="28"/>
  <c r="G47" i="7"/>
  <c r="K7" i="7" s="1"/>
  <c r="K13" i="7" s="1"/>
  <c r="C13" i="11" l="1"/>
  <c r="C39" i="11"/>
  <c r="C43" i="11" s="1"/>
  <c r="E22" i="17"/>
  <c r="F21" i="17"/>
  <c r="G23" i="7"/>
  <c r="C28" i="17"/>
  <c r="C30" i="17" s="1"/>
  <c r="E39" i="11"/>
  <c r="E43" i="11" s="1"/>
  <c r="J19" i="22"/>
  <c r="J11" i="22"/>
  <c r="B20" i="28"/>
  <c r="F20" i="28" s="1"/>
  <c r="G20" i="28" s="1"/>
  <c r="B19" i="7"/>
  <c r="F19" i="7" s="1"/>
  <c r="G19" i="7" s="1"/>
  <c r="F39" i="11"/>
  <c r="F43" i="11" s="1"/>
  <c r="B24" i="28"/>
  <c r="F24" i="28" s="1"/>
  <c r="G24" i="28" s="1"/>
  <c r="B20" i="7"/>
  <c r="F20" i="7" s="1"/>
  <c r="G20" i="7" s="1"/>
  <c r="B24" i="7"/>
  <c r="F24" i="7" s="1"/>
  <c r="G24" i="7" s="1"/>
  <c r="F13" i="11"/>
  <c r="F17" i="11" s="1"/>
  <c r="B19" i="28"/>
  <c r="F19" i="28" s="1"/>
  <c r="G19" i="28" s="1"/>
  <c r="B17" i="28"/>
  <c r="D39" i="11"/>
  <c r="D43" i="11" s="1"/>
  <c r="D13" i="11"/>
  <c r="B18" i="28" s="1"/>
  <c r="B17" i="7"/>
  <c r="C17" i="11"/>
  <c r="D35" i="22"/>
  <c r="K62" i="12"/>
  <c r="D40" i="22" s="1"/>
  <c r="J20" i="22" s="1"/>
  <c r="S29" i="7"/>
  <c r="S30" i="7"/>
  <c r="L31" i="28"/>
  <c r="L32" i="28"/>
  <c r="Q29" i="28"/>
  <c r="Q30" i="28"/>
  <c r="S29" i="28"/>
  <c r="S30" i="28"/>
  <c r="Q30" i="7"/>
  <c r="Q29" i="7"/>
  <c r="L32" i="7"/>
  <c r="G23" i="28"/>
  <c r="C42" i="17" l="1"/>
  <c r="C43" i="17" s="1"/>
  <c r="F17" i="7"/>
  <c r="G17" i="7" s="1"/>
  <c r="F27" i="7"/>
  <c r="B27" i="28"/>
  <c r="G21" i="17"/>
  <c r="F22" i="17"/>
  <c r="G27" i="7"/>
  <c r="K4" i="7" s="1"/>
  <c r="F17" i="28"/>
  <c r="G17" i="28" s="1"/>
  <c r="C21" i="28"/>
  <c r="E27" i="28"/>
  <c r="J12" i="22"/>
  <c r="B18" i="7"/>
  <c r="F18" i="7" s="1"/>
  <c r="G18" i="7" s="1"/>
  <c r="B27" i="7"/>
  <c r="E27" i="7"/>
  <c r="F27" i="28"/>
  <c r="G27" i="28"/>
  <c r="K4" i="28" s="1"/>
  <c r="F18" i="28"/>
  <c r="G18" i="28" s="1"/>
  <c r="E21" i="28"/>
  <c r="C27" i="28"/>
  <c r="B21" i="28"/>
  <c r="D21" i="28"/>
  <c r="H10" i="22" s="1"/>
  <c r="D17" i="11"/>
  <c r="L31" i="7"/>
  <c r="D42" i="17" l="1"/>
  <c r="H21" i="17"/>
  <c r="G22" i="17"/>
  <c r="B21" i="7"/>
  <c r="G21" i="7"/>
  <c r="F21" i="7"/>
  <c r="F28" i="7" s="1"/>
  <c r="D21" i="7"/>
  <c r="E21" i="7"/>
  <c r="C27" i="7"/>
  <c r="C21" i="7"/>
  <c r="G21" i="28"/>
  <c r="K3" i="28" s="1"/>
  <c r="F21" i="28"/>
  <c r="F28" i="28" s="1"/>
  <c r="K8" i="28" l="1"/>
  <c r="C22" i="38"/>
  <c r="I21" i="17"/>
  <c r="H22" i="17"/>
  <c r="K3" i="7"/>
  <c r="C32" i="38" s="1"/>
  <c r="G28" i="7"/>
  <c r="G49" i="7" s="1"/>
  <c r="K10" i="28"/>
  <c r="G28" i="28"/>
  <c r="G49" i="28" s="1"/>
  <c r="K14" i="28" l="1"/>
  <c r="K15" i="28" s="1"/>
  <c r="K16" i="28" s="1"/>
  <c r="C23" i="38"/>
  <c r="C24" i="38" s="1"/>
  <c r="J21" i="17"/>
  <c r="I22" i="17"/>
  <c r="K8" i="7"/>
  <c r="K10" i="7"/>
  <c r="C33" i="38" s="1"/>
  <c r="C34" i="38" s="1"/>
  <c r="C36" i="38" s="1"/>
  <c r="C38" i="38" s="1"/>
  <c r="D43" i="17"/>
  <c r="E42" i="17"/>
  <c r="C40" i="38" l="1"/>
  <c r="C60" i="38"/>
  <c r="C26" i="38"/>
  <c r="C28" i="38" s="1"/>
  <c r="C30" i="38" s="1"/>
  <c r="K21" i="17"/>
  <c r="J22" i="17"/>
  <c r="K14" i="7"/>
  <c r="K15" i="7" s="1"/>
  <c r="K16" i="7" s="1"/>
  <c r="E6" i="35" s="1"/>
  <c r="E43" i="17"/>
  <c r="F42" i="17"/>
  <c r="D6" i="35"/>
  <c r="C61" i="38" l="1"/>
  <c r="C62" i="38" s="1"/>
  <c r="C63" i="38" s="1"/>
  <c r="C64" i="38" s="1"/>
  <c r="C65" i="38" s="1"/>
  <c r="C66" i="38" s="1"/>
  <c r="C67" i="38" s="1"/>
  <c r="C68" i="38" s="1"/>
  <c r="C69" i="38" s="1"/>
  <c r="C70" i="38" s="1"/>
  <c r="C71" i="38" s="1"/>
  <c r="C72" i="38" s="1"/>
  <c r="C73" i="38" s="1"/>
  <c r="C74" i="38" s="1"/>
  <c r="C75" i="38" s="1"/>
  <c r="C76" i="38" s="1"/>
  <c r="C77" i="38" s="1"/>
  <c r="C78" i="38" s="1"/>
  <c r="C79" i="38" s="1"/>
  <c r="J46" i="7"/>
  <c r="K46" i="7"/>
  <c r="L46" i="7"/>
  <c r="L21" i="17"/>
  <c r="K22" i="17"/>
  <c r="H6" i="35"/>
  <c r="I6" i="35"/>
  <c r="K46" i="28"/>
  <c r="J46" i="28"/>
  <c r="L46" i="28"/>
  <c r="F43" i="17"/>
  <c r="G42" i="17"/>
  <c r="C85" i="38" l="1"/>
  <c r="K35" i="7" s="1"/>
  <c r="L35" i="7" s="1"/>
  <c r="M21" i="17"/>
  <c r="L22" i="17"/>
  <c r="G43" i="17"/>
  <c r="H42" i="17"/>
  <c r="N21" i="17" l="1"/>
  <c r="M22" i="17"/>
  <c r="H43" i="17"/>
  <c r="I42" i="17"/>
  <c r="O21" i="17" l="1"/>
  <c r="N22" i="17"/>
  <c r="I43" i="17"/>
  <c r="J42" i="17"/>
  <c r="P21" i="17" l="1"/>
  <c r="O22" i="17"/>
  <c r="J43" i="17"/>
  <c r="K42" i="17"/>
  <c r="Q21" i="17" l="1"/>
  <c r="P22" i="17"/>
  <c r="K43" i="17"/>
  <c r="L42" i="17"/>
  <c r="R21" i="17" l="1"/>
  <c r="Q22" i="17"/>
  <c r="L43" i="17"/>
  <c r="M42" i="17"/>
  <c r="S21" i="17" l="1"/>
  <c r="R22" i="17"/>
  <c r="M43" i="17"/>
  <c r="N42" i="17"/>
  <c r="T21" i="17" l="1"/>
  <c r="S22" i="17"/>
  <c r="N43" i="17"/>
  <c r="O42" i="17"/>
  <c r="U21" i="17" l="1"/>
  <c r="T22" i="17"/>
  <c r="O43" i="17"/>
  <c r="P42" i="17"/>
  <c r="V21" i="17" l="1"/>
  <c r="U22" i="17"/>
  <c r="P43" i="17"/>
  <c r="Q42" i="17"/>
  <c r="W21" i="17" l="1"/>
  <c r="V22" i="17"/>
  <c r="Q43" i="17"/>
  <c r="R42" i="17"/>
  <c r="X21" i="17" l="1"/>
  <c r="W22" i="17"/>
  <c r="R43" i="17"/>
  <c r="S42" i="17"/>
  <c r="Y21" i="17" l="1"/>
  <c r="X22" i="17"/>
  <c r="S43" i="17"/>
  <c r="T42" i="17"/>
  <c r="Z21" i="17" l="1"/>
  <c r="Y22" i="17"/>
  <c r="T43" i="17"/>
  <c r="U42" i="17"/>
  <c r="AA21" i="17" l="1"/>
  <c r="Z22" i="17"/>
  <c r="U43" i="17"/>
  <c r="V42" i="17"/>
  <c r="AB21" i="17" l="1"/>
  <c r="AA22" i="17"/>
  <c r="V43" i="17"/>
  <c r="W42" i="17"/>
  <c r="AC21" i="17" l="1"/>
  <c r="AB22" i="17"/>
  <c r="W43" i="17"/>
  <c r="X42" i="17"/>
  <c r="AD21" i="17" l="1"/>
  <c r="AC22" i="17"/>
  <c r="X43" i="17"/>
  <c r="Y42" i="17"/>
  <c r="AE21" i="17" l="1"/>
  <c r="AD22" i="17"/>
  <c r="Y43" i="17"/>
  <c r="Z42" i="17"/>
  <c r="AF21" i="17" l="1"/>
  <c r="AF22" i="17" s="1"/>
  <c r="AE22" i="17"/>
  <c r="Z43" i="17"/>
  <c r="AA42" i="17"/>
  <c r="K34" i="28" l="1"/>
  <c r="K37" i="28" s="1"/>
  <c r="AA43" i="17"/>
  <c r="AB42" i="17"/>
  <c r="AB43" i="17" l="1"/>
  <c r="AC42" i="17"/>
  <c r="AC43" i="17" l="1"/>
  <c r="AD42" i="17"/>
  <c r="AD43" i="17" l="1"/>
  <c r="AE42" i="17"/>
  <c r="AE43" i="17" l="1"/>
  <c r="AF42" i="17"/>
  <c r="AF43" i="17" s="1"/>
  <c r="K34" i="7" l="1"/>
  <c r="Q32" i="28"/>
  <c r="Q33" i="28" s="1"/>
  <c r="Q35" i="28" s="1"/>
  <c r="J58" i="28" s="1"/>
  <c r="L34" i="28"/>
  <c r="S32" i="28"/>
  <c r="S33" i="28" s="1"/>
  <c r="S35" i="28" s="1"/>
  <c r="L58" i="28" s="1"/>
  <c r="L34" i="7" l="1"/>
  <c r="K37" i="7"/>
  <c r="K39" i="7" s="1"/>
  <c r="K39" i="28"/>
  <c r="D7" i="36"/>
  <c r="I7" i="36" s="1"/>
  <c r="S32" i="7"/>
  <c r="S33" i="7" s="1"/>
  <c r="S35" i="7" s="1"/>
  <c r="L58" i="7" s="1"/>
  <c r="L59" i="7" s="1"/>
  <c r="E39" i="22" s="1"/>
  <c r="Q32" i="7"/>
  <c r="Q33" i="7" s="1"/>
  <c r="Q35" i="7" s="1"/>
  <c r="J58" i="7" s="1"/>
  <c r="J59" i="7" s="1"/>
  <c r="C39" i="22" s="1"/>
  <c r="D7" i="35"/>
  <c r="K47" i="28"/>
  <c r="K48" i="28" s="1"/>
  <c r="J47" i="28"/>
  <c r="J48" i="28" s="1"/>
  <c r="C23" i="22" s="1"/>
  <c r="E32" i="22"/>
  <c r="L59" i="28"/>
  <c r="E37" i="22" s="1"/>
  <c r="L54" i="28"/>
  <c r="L55" i="28" s="1"/>
  <c r="J54" i="28"/>
  <c r="J55" i="28" s="1"/>
  <c r="L37" i="28"/>
  <c r="K54" i="28"/>
  <c r="K55" i="28" s="1"/>
  <c r="N10" i="8" s="1"/>
  <c r="L47" i="28"/>
  <c r="L48" i="28" s="1"/>
  <c r="E23" i="22" s="1"/>
  <c r="C32" i="22"/>
  <c r="J59" i="28"/>
  <c r="C37" i="22" s="1"/>
  <c r="E34" i="22" l="1"/>
  <c r="J54" i="7"/>
  <c r="J55" i="7" s="1"/>
  <c r="K54" i="7"/>
  <c r="K55" i="7" s="1"/>
  <c r="O10" i="8" s="1"/>
  <c r="L37" i="7"/>
  <c r="L54" i="7"/>
  <c r="L55" i="7" s="1"/>
  <c r="E7" i="36"/>
  <c r="H7" i="36" s="1"/>
  <c r="E7" i="35"/>
  <c r="H7" i="35" s="1"/>
  <c r="L47" i="7"/>
  <c r="L48" i="7" s="1"/>
  <c r="E25" i="22" s="1"/>
  <c r="E27" i="22" s="1"/>
  <c r="K47" i="7"/>
  <c r="K48" i="7" s="1"/>
  <c r="D25" i="22" s="1"/>
  <c r="J47" i="7"/>
  <c r="J48" i="7" s="1"/>
  <c r="C25" i="22" s="1"/>
  <c r="C27" i="22" s="1"/>
  <c r="C34" i="22"/>
  <c r="L39" i="7"/>
  <c r="D8" i="35"/>
  <c r="D11" i="35" s="1"/>
  <c r="D8" i="36"/>
  <c r="I8" i="36" s="1"/>
  <c r="I7" i="35"/>
  <c r="D10" i="35"/>
  <c r="C41" i="22"/>
  <c r="E41" i="22"/>
  <c r="N9" i="8"/>
  <c r="D23" i="22"/>
  <c r="L39" i="28"/>
  <c r="K58" i="28"/>
  <c r="N12" i="8" l="1"/>
  <c r="N13" i="8"/>
  <c r="E10" i="35"/>
  <c r="E8" i="35"/>
  <c r="E11" i="35" s="1"/>
  <c r="K58" i="7"/>
  <c r="D34" i="22" s="1"/>
  <c r="E8" i="36"/>
  <c r="H8" i="36" s="1"/>
  <c r="O9" i="8"/>
  <c r="I8" i="35"/>
  <c r="I11" i="22"/>
  <c r="I19" i="22"/>
  <c r="H19" i="22"/>
  <c r="H11" i="22"/>
  <c r="D27" i="22"/>
  <c r="D32" i="22"/>
  <c r="K59" i="28"/>
  <c r="D37" i="22" s="1"/>
  <c r="H8" i="35" l="1"/>
  <c r="K59" i="7"/>
  <c r="D39" i="22" s="1"/>
  <c r="I20" i="22" s="1"/>
  <c r="H12" i="22"/>
  <c r="H20" i="22"/>
  <c r="I12" i="22" l="1"/>
  <c r="D4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Stanger, Michael</author>
  </authors>
  <commentList>
    <comment ref="H63" authorId="0" shapeId="0" xr:uid="{539BBA20-005A-4CB1-9376-D55C44CAEE93}">
      <text>
        <r>
          <rPr>
            <b/>
            <sz val="9"/>
            <color indexed="81"/>
            <rFont val="Tahoma"/>
            <family val="2"/>
          </rPr>
          <t>Stanger, Michael:</t>
        </r>
        <r>
          <rPr>
            <sz val="9"/>
            <color indexed="81"/>
            <rFont val="Tahoma"/>
            <family val="2"/>
          </rPr>
          <t xml:space="preserve">
Return to Base Year HALF2 1990</t>
        </r>
      </text>
    </comment>
    <comment ref="H64" authorId="0" shapeId="0" xr:uid="{8E9084D5-A9AA-421E-8729-954904E7BA1C}">
      <text>
        <r>
          <rPr>
            <b/>
            <sz val="9"/>
            <color indexed="81"/>
            <rFont val="Tahoma"/>
            <family val="2"/>
          </rPr>
          <t>Stanger, Michael:</t>
        </r>
        <r>
          <rPr>
            <sz val="9"/>
            <color indexed="81"/>
            <rFont val="Tahoma"/>
            <family val="2"/>
          </rPr>
          <t xml:space="preserve">
Use Base Year 2019.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<sst xmlns="http://schemas.openxmlformats.org/spreadsheetml/2006/main" count="3091" uniqueCount="620">
  <si>
    <t>City of Bellevue</t>
  </si>
  <si>
    <t xml:space="preserve">Wilburton Land Use Code Amendment (LUCA) Economic Analysis </t>
  </si>
  <si>
    <t xml:space="preserve"> Pro Forma Model </t>
  </si>
  <si>
    <t>Prepared by:</t>
  </si>
  <si>
    <t xml:space="preserve">Prepared for: </t>
  </si>
  <si>
    <t xml:space="preserve">Background and Purpose </t>
  </si>
  <si>
    <t xml:space="preserve">Economic analysis in support of the Wilburton LUCA is a continuation of a planning effort begun in 2015 with City Council's authorization of a land use code amendment in the Wilburton neighborhood. Pro forma analysis in support of the LUCA examines the relationship between building and land use prototypes, potential public amenities requirements and incentives, and market data regarding real estate development to inform LUCA decision-making. </t>
  </si>
  <si>
    <t xml:space="preserve">This draft is not intended for public use. </t>
  </si>
  <si>
    <t xml:space="preserve">Methods </t>
  </si>
  <si>
    <t xml:space="preserve">This workbook includes data and assumptions informed by market data analysis as well as outreach to local developers, property owners, and stakeholders. These data and assumptions are informed by a series of working sessions with City of Bellevue staff. </t>
  </si>
  <si>
    <t>Inputs</t>
  </si>
  <si>
    <t>Table of Contents</t>
  </si>
  <si>
    <t>Output tabs</t>
  </si>
  <si>
    <r>
      <t xml:space="preserve">These tabs display </t>
    </r>
    <r>
      <rPr>
        <b/>
        <sz val="11"/>
        <color theme="1"/>
        <rFont val="Century Gothic"/>
        <family val="2"/>
      </rPr>
      <t>model results</t>
    </r>
    <r>
      <rPr>
        <sz val="11"/>
        <color theme="1"/>
        <rFont val="Century Gothic"/>
        <family val="2"/>
      </rPr>
      <t>, including results for a set of predefined scenarios.</t>
    </r>
  </si>
  <si>
    <t>Control tabs</t>
  </si>
  <si>
    <r>
      <t xml:space="preserve">These tabs allow a user to </t>
    </r>
    <r>
      <rPr>
        <b/>
        <sz val="11"/>
        <color theme="1"/>
        <rFont val="Century Gothic"/>
        <family val="2"/>
      </rPr>
      <t>update inputs</t>
    </r>
    <r>
      <rPr>
        <sz val="11"/>
        <color theme="1"/>
        <rFont val="Century Gothic"/>
        <family val="2"/>
      </rPr>
      <t xml:space="preserve"> for scenarios, prototypes, and market factors.</t>
    </r>
  </si>
  <si>
    <t>Analysis tabs</t>
  </si>
  <si>
    <r>
      <t xml:space="preserve">These tabs contain the </t>
    </r>
    <r>
      <rPr>
        <b/>
        <sz val="11"/>
        <color theme="1"/>
        <rFont val="Century Gothic"/>
        <family val="2"/>
      </rPr>
      <t>detailed calculations</t>
    </r>
    <r>
      <rPr>
        <sz val="11"/>
        <color theme="1"/>
        <rFont val="Century Gothic"/>
        <family val="2"/>
      </rPr>
      <t xml:space="preserve"> used to generate model results.</t>
    </r>
  </si>
  <si>
    <t>Inputs tabs</t>
  </si>
  <si>
    <r>
      <t xml:space="preserve">These tabs offer a </t>
    </r>
    <r>
      <rPr>
        <b/>
        <sz val="11"/>
        <color theme="1"/>
        <rFont val="Century Gothic"/>
        <family val="2"/>
      </rPr>
      <t>detailed summary of inputs and assumptions</t>
    </r>
    <r>
      <rPr>
        <sz val="11"/>
        <color theme="1"/>
        <rFont val="Century Gothic"/>
        <family val="2"/>
      </rPr>
      <t xml:space="preserve"> for the model.</t>
    </r>
  </si>
  <si>
    <t>Data tabs</t>
  </si>
  <si>
    <t>Tab Name</t>
  </si>
  <si>
    <t>Category</t>
  </si>
  <si>
    <t>Description</t>
  </si>
  <si>
    <t xml:space="preserve">Outputs </t>
  </si>
  <si>
    <t>Input Exhibit</t>
  </si>
  <si>
    <t>Static</t>
  </si>
  <si>
    <t xml:space="preserve">Summarizes model inputs for each prototype. </t>
  </si>
  <si>
    <t xml:space="preserve">Prototype Exhibit </t>
  </si>
  <si>
    <t xml:space="preserve">Summarizes all model data for each prototype. </t>
  </si>
  <si>
    <t>YOC Exhibit</t>
  </si>
  <si>
    <t>Sensitivity Exhibit</t>
  </si>
  <si>
    <t>Summarizes the sensitivity analysis factoring in rent changes and differing parking requirements for the prototype selected in the model controls tab.</t>
  </si>
  <si>
    <t>Static Output Exhibit</t>
  </si>
  <si>
    <t>Summarizes directionality and magnitude of baseline to scenario output changes.</t>
  </si>
  <si>
    <t>Dynamic Output Exhibit</t>
  </si>
  <si>
    <t>Controls</t>
  </si>
  <si>
    <t xml:space="preserve">Model Controls </t>
  </si>
  <si>
    <t xml:space="preserve">Dynamic </t>
  </si>
  <si>
    <t xml:space="preserve">Controls which prototype is displayed in the Model Baseline and Scenario tabs. Several components in this tab may be toggled; results will be displayed in the Baseline and Scenario tabs. </t>
  </si>
  <si>
    <t>Amenity Bonus Controls</t>
  </si>
  <si>
    <t>Prototype Controls</t>
  </si>
  <si>
    <t>Input Controls</t>
  </si>
  <si>
    <t xml:space="preserve">Analysis </t>
  </si>
  <si>
    <t>Model Baseline</t>
  </si>
  <si>
    <t>Captures pro forma model for baseline analysis.</t>
  </si>
  <si>
    <t>Model Scenario Base</t>
  </si>
  <si>
    <t>Captures pro forma model for the base scenario analysis.</t>
  </si>
  <si>
    <t>Model Scenario Max</t>
  </si>
  <si>
    <t>Captures pro forma model for the max scenario analysis.</t>
  </si>
  <si>
    <t xml:space="preserve">Inputs </t>
  </si>
  <si>
    <t xml:space="preserve">Prototypes Inputs </t>
  </si>
  <si>
    <t>Dynamic</t>
  </si>
  <si>
    <t xml:space="preserve">Model Inputs </t>
  </si>
  <si>
    <t>Captures market inputs feeding into pro forma models.</t>
  </si>
  <si>
    <t>Unit Mix</t>
  </si>
  <si>
    <t>Financing</t>
  </si>
  <si>
    <t>Calculates construction loan finance costs.</t>
  </si>
  <si>
    <t xml:space="preserve">Data </t>
  </si>
  <si>
    <t xml:space="preserve">ARCH 2023 </t>
  </si>
  <si>
    <t>ARCH income limits and utility allowances.</t>
  </si>
  <si>
    <t>Lookup Lists</t>
  </si>
  <si>
    <t>Lists for index functions.</t>
  </si>
  <si>
    <t xml:space="preserve">Green Building </t>
  </si>
  <si>
    <t>Potential green building standard costs.</t>
  </si>
  <si>
    <t>Site Calcs</t>
  </si>
  <si>
    <t>Calculates the area and cost associated with required right-of-ways.</t>
  </si>
  <si>
    <t>IF_MFTE Calculations</t>
  </si>
  <si>
    <t>Calculates costs associated with Impact Fees and MFTE savings.</t>
  </si>
  <si>
    <t>1) Inputs that require additional information:</t>
  </si>
  <si>
    <t>Tab</t>
  </si>
  <si>
    <t>Cells</t>
  </si>
  <si>
    <t>a. affordable housing in-lieu fees.</t>
  </si>
  <si>
    <t>Model  Controls</t>
  </si>
  <si>
    <t>E11 &amp; H11</t>
  </si>
  <si>
    <t>b. anticipated site coverage for NBBJ-suggested sites (after set asides for open space, infrastructure, etc.).</t>
  </si>
  <si>
    <t>Prototype Inputs</t>
  </si>
  <si>
    <t>C14 - F14</t>
  </si>
  <si>
    <t>c. defining green building standards under "Additional Amenities" in the zoning concepts.</t>
  </si>
  <si>
    <t>Prototype Inputs/Green Building</t>
  </si>
  <si>
    <t>E18, E32, H18, &amp; H32</t>
  </si>
  <si>
    <t>d. subsidized commercial rents.</t>
  </si>
  <si>
    <t>Model Inputs</t>
  </si>
  <si>
    <t>C18 - F19</t>
  </si>
  <si>
    <t>e. defining open space amenity options.</t>
  </si>
  <si>
    <t>E15, E40, H15, &amp; H40</t>
  </si>
  <si>
    <t xml:space="preserve">2) Potential outputs and their limitations: </t>
  </si>
  <si>
    <t>a. Residual Land Value/sf of land: Captures large increases in net operating income and total development costs associated with added density but does not reflect potential marginal benefits associated with added density.</t>
  </si>
  <si>
    <t>b. Modified Yield on Cost (MYoC): More optimistic than true Yield on Cost measure since land prices are not being modeled but better captures the potential marginal benefits associated with added density.</t>
  </si>
  <si>
    <t>c. Percent Change in MYoC: Provides a measure to capture the directionality and magnitude of change to the Yield on Cost measure when testing baseline to scenario amenities.</t>
  </si>
  <si>
    <t>How to Use the Model</t>
  </si>
  <si>
    <r>
      <t xml:space="preserve">To start, the user should select the prototype they want to model and whether they would like to model a right-of-way requirement in the dynamic </t>
    </r>
    <r>
      <rPr>
        <b/>
        <sz val="11"/>
        <color theme="1"/>
        <rFont val="Century Gothic"/>
        <family val="2"/>
      </rPr>
      <t>Model Controls</t>
    </r>
    <r>
      <rPr>
        <sz val="11"/>
        <color theme="1"/>
        <rFont val="Century Gothic"/>
        <family val="2"/>
      </rPr>
      <t xml:space="preserve"> tab. </t>
    </r>
  </si>
  <si>
    <r>
      <t>The model allows the user to test five</t>
    </r>
    <r>
      <rPr>
        <u/>
        <sz val="11"/>
        <rFont val="Century Gothic"/>
        <family val="2"/>
      </rPr>
      <t xml:space="preserve"> different prototypes</t>
    </r>
    <r>
      <rPr>
        <sz val="11"/>
        <rFont val="Century Gothic"/>
        <family val="2"/>
      </rPr>
      <t xml:space="preserve">: Urban Core, Mixed-Use Residential Mid-rise, Mixed-use High-rise, Mixed-Use Office Mid-rise, and Medical Office High-rise. Prototypes are predefined using descriptions provided by the City of Bellevue. Users can change the prototype inputs in the </t>
    </r>
    <r>
      <rPr>
        <b/>
        <sz val="11"/>
        <rFont val="Century Gothic"/>
        <family val="2"/>
      </rPr>
      <t>Prototype Controls</t>
    </r>
    <r>
      <rPr>
        <sz val="11"/>
        <rFont val="Century Gothic"/>
        <family val="2"/>
      </rPr>
      <t xml:space="preserve"> tab.</t>
    </r>
  </si>
  <si>
    <r>
      <t xml:space="preserve">The user can then define a scenario to model by changing the highlighted cells in the </t>
    </r>
    <r>
      <rPr>
        <b/>
        <sz val="11"/>
        <rFont val="Century Gothic"/>
        <family val="2"/>
        <scheme val="minor"/>
      </rPr>
      <t>Model Controls</t>
    </r>
    <r>
      <rPr>
        <sz val="11"/>
        <rFont val="Century Gothic"/>
        <family val="2"/>
        <scheme val="minor"/>
      </rPr>
      <t xml:space="preserve"> tab. Results are displayed in the </t>
    </r>
    <r>
      <rPr>
        <b/>
        <sz val="11"/>
        <rFont val="Century Gothic"/>
        <family val="2"/>
        <scheme val="minor"/>
      </rPr>
      <t>Dynamic</t>
    </r>
    <r>
      <rPr>
        <sz val="11"/>
        <rFont val="Century Gothic"/>
        <family val="2"/>
        <scheme val="minor"/>
      </rPr>
      <t xml:space="preserve"> </t>
    </r>
    <r>
      <rPr>
        <b/>
        <sz val="11"/>
        <rFont val="Century Gothic"/>
        <family val="2"/>
        <scheme val="minor"/>
      </rPr>
      <t xml:space="preserve">Output Exhibit </t>
    </r>
    <r>
      <rPr>
        <sz val="11"/>
        <rFont val="Century Gothic"/>
        <family val="2"/>
        <scheme val="minor"/>
      </rPr>
      <t>tab.</t>
    </r>
  </si>
  <si>
    <t>Highlighted Cells Legend</t>
  </si>
  <si>
    <t>Manual Entry</t>
  </si>
  <si>
    <t>Users need to manually enter the value in these cells.</t>
  </si>
  <si>
    <r>
      <t xml:space="preserve">The user can specify the following </t>
    </r>
    <r>
      <rPr>
        <u/>
        <sz val="11"/>
        <rFont val="Century Gothic"/>
        <family val="2"/>
        <scheme val="minor"/>
      </rPr>
      <t>program requirements</t>
    </r>
    <r>
      <rPr>
        <sz val="11"/>
        <rFont val="Century Gothic"/>
        <family val="2"/>
        <scheme val="minor"/>
      </rPr>
      <t xml:space="preserve"> for their desired scenario on the </t>
    </r>
    <r>
      <rPr>
        <b/>
        <sz val="11"/>
        <rFont val="Century Gothic"/>
        <family val="2"/>
        <scheme val="minor"/>
      </rPr>
      <t>Model Controls</t>
    </r>
    <r>
      <rPr>
        <sz val="11"/>
        <rFont val="Century Gothic"/>
        <family val="2"/>
        <scheme val="minor"/>
      </rPr>
      <t xml:space="preserve"> tab: </t>
    </r>
  </si>
  <si>
    <t>Right-of-way Requirement</t>
  </si>
  <si>
    <t>Yes or no toggle. Determines if a right-of-way will be required on the prototype's site. Applies to the baseline, base scenario, and max scenario.</t>
  </si>
  <si>
    <t>Set Aside Units</t>
  </si>
  <si>
    <t>Percentage of units to be set aside as affordable.</t>
  </si>
  <si>
    <t>AMI</t>
  </si>
  <si>
    <t>Area Median Income (AMI) levels for the affordable units.</t>
  </si>
  <si>
    <t>In-lieu Fee</t>
  </si>
  <si>
    <t>An in-lieu fee that can be used as an alternative for providing affordable housing.</t>
  </si>
  <si>
    <t>Open Space</t>
  </si>
  <si>
    <t>An option to require open space as part of the site's development.</t>
  </si>
  <si>
    <t>Green Building</t>
  </si>
  <si>
    <t>Green building requirements.</t>
  </si>
  <si>
    <t>Max Scenario:</t>
  </si>
  <si>
    <t>Additional percentage of units to be set aside as affordable.</t>
  </si>
  <si>
    <t>Area Median Income (AMI) levels for the additional affordable units.</t>
  </si>
  <si>
    <t>Additional green building requirements.</t>
  </si>
  <si>
    <t>Affordable Commercial</t>
  </si>
  <si>
    <t>Amount of commercial space required to be affordable/subsidized.</t>
  </si>
  <si>
    <t xml:space="preserve">Open space </t>
  </si>
  <si>
    <t>Additional open space required as part of the site's development.</t>
  </si>
  <si>
    <t>Stream Restoration</t>
  </si>
  <si>
    <t>Dollars spent towards stream restoration.</t>
  </si>
  <si>
    <t>Eastrail Improvements</t>
  </si>
  <si>
    <t>Grand Connection Improvements</t>
  </si>
  <si>
    <r>
      <t xml:space="preserve">The model also allows the user to adjust any model inputs such as market rate rent levels, vacancy rates, and construction inputs in the </t>
    </r>
    <r>
      <rPr>
        <b/>
        <sz val="11"/>
        <rFont val="Century Gothic"/>
        <family val="2"/>
        <scheme val="minor"/>
      </rPr>
      <t>Input Controls</t>
    </r>
    <r>
      <rPr>
        <sz val="11"/>
        <rFont val="Century Gothic"/>
        <family val="2"/>
        <scheme val="minor"/>
      </rPr>
      <t xml:space="preserve"> tab.</t>
    </r>
  </si>
  <si>
    <t>Definitions</t>
  </si>
  <si>
    <t>Prototypes</t>
  </si>
  <si>
    <t>Urban Core</t>
  </si>
  <si>
    <t>Mixed-Use Residential Mid-rise</t>
  </si>
  <si>
    <t xml:space="preserve">Envisioned as a mid-rise building with 6 stories consisting of residential uses with ground floor active uses, assumed to be retail. </t>
  </si>
  <si>
    <t>Mixed-use High-rise</t>
  </si>
  <si>
    <t>Envisioned as a high-rise building consisting of a mix of residential uses with ground floor active uses, assumed to be retail.</t>
  </si>
  <si>
    <t>Mixed-Use Office Mid-rise</t>
  </si>
  <si>
    <t xml:space="preserve">Envisioned as a mid-rise building with 6 stories consisting of office uses with ground floor active uses, assumed to be retail. </t>
  </si>
  <si>
    <t>Medical Office High-rise</t>
  </si>
  <si>
    <t xml:space="preserve">Envisioned as a high-rise building consisting of medical office uses with ground floor active uses, assumed to be retail. </t>
  </si>
  <si>
    <t>Yes</t>
  </si>
  <si>
    <t>Right-of-way required to be built on the prototype's site.</t>
  </si>
  <si>
    <t>No</t>
  </si>
  <si>
    <t>No right-of-way requirement for the prototype's site.</t>
  </si>
  <si>
    <t>Predefined Scenarios</t>
  </si>
  <si>
    <t>Baseline</t>
  </si>
  <si>
    <t>Base Scenario</t>
  </si>
  <si>
    <t>Test mandatory requirements for affordable housing, affordable housing in-lieu fees, open space, and/or green building requirements under a base density.</t>
  </si>
  <si>
    <t>Max Scenario</t>
  </si>
  <si>
    <t>Market Rate Rental Rates</t>
  </si>
  <si>
    <t>Unit Size</t>
  </si>
  <si>
    <t>Notes</t>
  </si>
  <si>
    <t>Studio</t>
  </si>
  <si>
    <t>/sf/month</t>
  </si>
  <si>
    <t>1-Bedroom</t>
  </si>
  <si>
    <t>2-Bedroom</t>
  </si>
  <si>
    <t>3-Bedroom</t>
  </si>
  <si>
    <t>Affordable Rent Limits by Income Level</t>
  </si>
  <si>
    <t>4-Bedroom</t>
  </si>
  <si>
    <t>Utlitiy Allowances</t>
  </si>
  <si>
    <t>Allowance</t>
  </si>
  <si>
    <t>Utilities</t>
  </si>
  <si>
    <t>Parking</t>
  </si>
  <si>
    <t>Total</t>
  </si>
  <si>
    <t>Other Rents</t>
  </si>
  <si>
    <t>Market Rate Commercial Rents</t>
  </si>
  <si>
    <t>Office</t>
  </si>
  <si>
    <t>/sf/year (gross)</t>
  </si>
  <si>
    <t>Retail</t>
  </si>
  <si>
    <t>/sf/year (NNN)</t>
  </si>
  <si>
    <t>Subsidized Commercial Rents</t>
  </si>
  <si>
    <t>Parking Rents</t>
  </si>
  <si>
    <t>Residential</t>
  </si>
  <si>
    <t>/stall/month</t>
  </si>
  <si>
    <t>Vacancy Rates and Operating Expenses</t>
  </si>
  <si>
    <t>Credit and Vacancy Loss</t>
  </si>
  <si>
    <t>Operating Expenses</t>
  </si>
  <si>
    <t>% of EGI</t>
  </si>
  <si>
    <t>Construction Inputs and Cap Rates</t>
  </si>
  <si>
    <t>Construction Timeline</t>
  </si>
  <si>
    <t>Construction Interest Rate</t>
  </si>
  <si>
    <t>Loan-to-Cost</t>
  </si>
  <si>
    <t>Construction Costs</t>
  </si>
  <si>
    <t>Hard Costs</t>
  </si>
  <si>
    <t>Parking Costs</t>
  </si>
  <si>
    <t>Soft Costs</t>
  </si>
  <si>
    <t>Contingency</t>
  </si>
  <si>
    <t>Tenant Improvements</t>
  </si>
  <si>
    <t>Site Prep</t>
  </si>
  <si>
    <t>Open Space Development</t>
  </si>
  <si>
    <t>Capitalization Rates</t>
  </si>
  <si>
    <t>Cap Rate</t>
  </si>
  <si>
    <t>Prototype 1</t>
  </si>
  <si>
    <t>Prototype 2</t>
  </si>
  <si>
    <t>Prototype 3</t>
  </si>
  <si>
    <t>Prototype 4</t>
  </si>
  <si>
    <t>Prototype 5</t>
  </si>
  <si>
    <t>Development Inputs</t>
  </si>
  <si>
    <t>Building Footprint</t>
  </si>
  <si>
    <t>Site Size</t>
  </si>
  <si>
    <t>Built Square Feet (excl parking)</t>
  </si>
  <si>
    <t>Gross Building Area (excluding parking)</t>
  </si>
  <si>
    <t>Built Square Feet (w/ parking)</t>
  </si>
  <si>
    <t>Gross Building Area
(with parking)</t>
  </si>
  <si>
    <t>Net Floor Area</t>
  </si>
  <si>
    <t>Commercial</t>
  </si>
  <si>
    <t>Floor Area Ratio (FAR)</t>
  </si>
  <si>
    <t>Assumed Height</t>
  </si>
  <si>
    <t>Building Height</t>
  </si>
  <si>
    <t>Above Grade Floor Count</t>
  </si>
  <si>
    <t>Parking (Below Grade)</t>
  </si>
  <si>
    <t>Below Grade Floor Count (parking)</t>
  </si>
  <si>
    <t>Total Units</t>
  </si>
  <si>
    <t>Parking Requirements</t>
  </si>
  <si>
    <t>Scenario</t>
  </si>
  <si>
    <t>Gross Building Area (with parking)</t>
  </si>
  <si>
    <t>Density Limits</t>
  </si>
  <si>
    <t>Prototype</t>
  </si>
  <si>
    <t>Height (feet)</t>
  </si>
  <si>
    <t>FAR</t>
  </si>
  <si>
    <t>Base</t>
  </si>
  <si>
    <t>Max</t>
  </si>
  <si>
    <t>Unlimited</t>
  </si>
  <si>
    <t>Land Price Assumption</t>
  </si>
  <si>
    <t>Yield on Cost</t>
  </si>
  <si>
    <t>Rental Sensitivity</t>
  </si>
  <si>
    <t>Current Rents</t>
  </si>
  <si>
    <t>Needed Rents</t>
  </si>
  <si>
    <t>Average Rent (market rate)</t>
  </si>
  <si>
    <t>RLV</t>
  </si>
  <si>
    <t>Parking Sensitivity</t>
  </si>
  <si>
    <t>High</t>
  </si>
  <si>
    <t>Medium</t>
  </si>
  <si>
    <t>Low</t>
  </si>
  <si>
    <t>Parking/Unit Ratio</t>
  </si>
  <si>
    <t>Mixed-Use Residential High-rise</t>
  </si>
  <si>
    <t>Affordable Housing</t>
  </si>
  <si>
    <t>Units</t>
  </si>
  <si>
    <t>Per Bonus SF</t>
  </si>
  <si>
    <t>Total Fee</t>
  </si>
  <si>
    <t>% Site Area</t>
  </si>
  <si>
    <t>Residual Land Value per Square Foot</t>
  </si>
  <si>
    <t>Capitalization Rate</t>
  </si>
  <si>
    <t>% Change</t>
  </si>
  <si>
    <t>Hard Cost Assumption (/sf)</t>
  </si>
  <si>
    <t>Total Development Cost Per Unit</t>
  </si>
  <si>
    <t>Land</t>
  </si>
  <si>
    <t>130 - 365</t>
  </si>
  <si>
    <t>Sample Output Exhibit (for discussion purposes)</t>
  </si>
  <si>
    <t xml:space="preserve">Prototype (Model Controls) </t>
  </si>
  <si>
    <t>Rent Sensitivity (residential)</t>
  </si>
  <si>
    <t>Average Rent</t>
  </si>
  <si>
    <t>Legend</t>
  </si>
  <si>
    <t>Prototype Selection:</t>
  </si>
  <si>
    <t>Right-of-Way Requirement</t>
  </si>
  <si>
    <t>Applies to Baseline,Base Scenario, and Max Scenario</t>
  </si>
  <si>
    <t>MFTE/Years:</t>
  </si>
  <si>
    <t>Only applies to Base and Max Scenario</t>
  </si>
  <si>
    <t>Calculated (do not change)</t>
  </si>
  <si>
    <t>Impact Fees Waived:</t>
  </si>
  <si>
    <t>Scenarios</t>
  </si>
  <si>
    <t>Output</t>
  </si>
  <si>
    <t>Output Metric</t>
  </si>
  <si>
    <t>Gross Residential Area</t>
  </si>
  <si>
    <t>Gross Residential Floor Area</t>
  </si>
  <si>
    <t>RLV/sf</t>
  </si>
  <si>
    <t>Gross Office Space</t>
  </si>
  <si>
    <t>% Change in YoC</t>
  </si>
  <si>
    <t>Residentail FAR</t>
  </si>
  <si>
    <t>Baseline to Base</t>
  </si>
  <si>
    <t>Office FAR</t>
  </si>
  <si>
    <t>Base to Max</t>
  </si>
  <si>
    <t>Bonus Area</t>
  </si>
  <si>
    <t>Bonus FAR Applied</t>
  </si>
  <si>
    <t>Additional Amenities</t>
  </si>
  <si>
    <t>Need to Reach</t>
  </si>
  <si>
    <t>SF</t>
  </si>
  <si>
    <t>Additional Bonus Area Earned</t>
  </si>
  <si>
    <t>Bonus FAR</t>
  </si>
  <si>
    <t>Mandatory</t>
  </si>
  <si>
    <t>Unit Set Aside</t>
  </si>
  <si>
    <t>Affordable Housing In-lieu Fee</t>
  </si>
  <si>
    <t>Unit/Office Set Aside Equivalent</t>
  </si>
  <si>
    <t>Unit Equivalent</t>
  </si>
  <si>
    <t>Replaced SF</t>
  </si>
  <si>
    <t>Per Replaced Affordable SF</t>
  </si>
  <si>
    <t>User Notes:</t>
  </si>
  <si>
    <t>BelRed Rates</t>
  </si>
  <si>
    <t>Non-Residential</t>
  </si>
  <si>
    <t>Remaining available site area</t>
  </si>
  <si>
    <t>Green Building Standard</t>
  </si>
  <si>
    <t>None</t>
  </si>
  <si>
    <t>% of hard costs</t>
  </si>
  <si>
    <t>Costs currently informed by 2019 study.</t>
  </si>
  <si>
    <t>Optional:</t>
  </si>
  <si>
    <t>Values to achieve bonus</t>
  </si>
  <si>
    <t>Suggested</t>
  </si>
  <si>
    <t>Actual Input</t>
  </si>
  <si>
    <t>Additional Unit Set Aside</t>
  </si>
  <si>
    <t>Affordable SF</t>
  </si>
  <si>
    <t>Bonus (SF)</t>
  </si>
  <si>
    <t>3-bedroom units (additional)</t>
  </si>
  <si>
    <t>Unit SF</t>
  </si>
  <si>
    <t>Notes:</t>
  </si>
  <si>
    <t>Costs currently informed by 2019 study. This field should represent a higher cert. than mandatory selection.</t>
  </si>
  <si>
    <t>% of commercial space</t>
  </si>
  <si>
    <t>SF of commercial space</t>
  </si>
  <si>
    <t>% Site Area (additional)</t>
  </si>
  <si>
    <t>SF of Open Space</t>
  </si>
  <si>
    <t>Dollars Spent</t>
  </si>
  <si>
    <t>SF (AMI Limits)</t>
  </si>
  <si>
    <t>SF per affordable SF</t>
  </si>
  <si>
    <t>SF per $1 of in-lieu fee</t>
  </si>
  <si>
    <t>LEED v4 Platinum</t>
  </si>
  <si>
    <t>LEED v4 Gold</t>
  </si>
  <si>
    <t>SF per SF affordable commercial space</t>
  </si>
  <si>
    <t>SF per SF of open space</t>
  </si>
  <si>
    <t>SF per $1,000 spent</t>
  </si>
  <si>
    <t>Pulled from model controls</t>
  </si>
  <si>
    <t>Building Type</t>
  </si>
  <si>
    <t>prototype name</t>
  </si>
  <si>
    <t>Total Site Coverage</t>
  </si>
  <si>
    <t>sf</t>
  </si>
  <si>
    <t>Building Efficiency</t>
  </si>
  <si>
    <t>Target Maximum FAR</t>
  </si>
  <si>
    <t>floors</t>
  </si>
  <si>
    <t>feet</t>
  </si>
  <si>
    <t>Maximum Height</t>
  </si>
  <si>
    <t>Floor Count</t>
  </si>
  <si>
    <t>Unit Configuration</t>
  </si>
  <si>
    <t>n/a</t>
  </si>
  <si>
    <t>Average Unit Size (net)</t>
  </si>
  <si>
    <t>Parking Type</t>
  </si>
  <si>
    <t>Structured</t>
  </si>
  <si>
    <t>construction type</t>
  </si>
  <si>
    <t>stalls per unit</t>
  </si>
  <si>
    <t>stalls per 1,000 sf</t>
  </si>
  <si>
    <t>Sources</t>
  </si>
  <si>
    <t>Market Rate Rents</t>
  </si>
  <si>
    <t>Assumption/Stakeholder Feedback/Comps</t>
  </si>
  <si>
    <t>Commercial Rents (Market)</t>
  </si>
  <si>
    <t>Assumption/Stakeholder Feedback/CoStar</t>
  </si>
  <si>
    <t>Commercial Rents (Subsidized)</t>
  </si>
  <si>
    <t>Assumption</t>
  </si>
  <si>
    <t>Surface</t>
  </si>
  <si>
    <t>Assumption/Stakeholder Feedback</t>
  </si>
  <si>
    <t>Construction Inputs</t>
  </si>
  <si>
    <t>per sf</t>
  </si>
  <si>
    <t>Assumption/Stakeholder Feedback/Rider, Levett, &amp; Bucknall</t>
  </si>
  <si>
    <t>Parking Costs (structured)</t>
  </si>
  <si>
    <t>per stall</t>
  </si>
  <si>
    <t>Other Inputs</t>
  </si>
  <si>
    <t>Assumption/CBRE/Stakeholder Feedback</t>
  </si>
  <si>
    <t>Interest Rate</t>
  </si>
  <si>
    <t>Revenues</t>
  </si>
  <si>
    <t>Annual Revenues</t>
  </si>
  <si>
    <t>Input</t>
  </si>
  <si>
    <t>Totals</t>
  </si>
  <si>
    <t>Market Rate Residential Rental Revenues</t>
  </si>
  <si>
    <t>Space Inputs</t>
  </si>
  <si>
    <t>Affordable Housing Rental Revenues</t>
  </si>
  <si>
    <t>Office Revenues</t>
  </si>
  <si>
    <t>Site Size (non-building)</t>
  </si>
  <si>
    <t>Retail Revenues</t>
  </si>
  <si>
    <t>of site size</t>
  </si>
  <si>
    <t>Parking Revenues</t>
  </si>
  <si>
    <t>Gross Annual Revenues</t>
  </si>
  <si>
    <t>Built Square Feet (excl. parking)</t>
  </si>
  <si>
    <t>Less Vacancy and Credit Loss</t>
  </si>
  <si>
    <t>Residentail</t>
  </si>
  <si>
    <t>Parking Stalls</t>
  </si>
  <si>
    <t>Effective Gross Income</t>
  </si>
  <si>
    <t>Residential Space</t>
  </si>
  <si>
    <t>Square Feet (net)</t>
  </si>
  <si>
    <t>Rent /sf/month</t>
  </si>
  <si>
    <t>Monthly Rent</t>
  </si>
  <si>
    <t>Total Monthly</t>
  </si>
  <si>
    <t>Total Annual</t>
  </si>
  <si>
    <t>Less Annual Operating Expenses</t>
  </si>
  <si>
    <t>Hard Costs Sensitivity Analysis Calculations</t>
  </si>
  <si>
    <t>Market Rate</t>
  </si>
  <si>
    <t>NOI</t>
  </si>
  <si>
    <t>Development costs</t>
  </si>
  <si>
    <t>Per Unit</t>
  </si>
  <si>
    <t>Green Building Cost Increase</t>
  </si>
  <si>
    <t>Total/Average Market Rate</t>
  </si>
  <si>
    <t>Affordable</t>
  </si>
  <si>
    <t>Site Improvement/Prep</t>
  </si>
  <si>
    <t>Total/Average Affordable</t>
  </si>
  <si>
    <t>Total Residential</t>
  </si>
  <si>
    <t>Commercial Space</t>
  </si>
  <si>
    <t>Rent /sf/year</t>
  </si>
  <si>
    <t>Right-of-way/Access Road</t>
  </si>
  <si>
    <t>Construction Interest</t>
  </si>
  <si>
    <t>Subsidized Space</t>
  </si>
  <si>
    <t>Total Development Cost (Excl. Land)</t>
  </si>
  <si>
    <t>MFTE Exemption</t>
  </si>
  <si>
    <t>Total Development Cost</t>
  </si>
  <si>
    <t>Stalls</t>
  </si>
  <si>
    <t>Rent /sf</t>
  </si>
  <si>
    <t>Impact Fees Waived</t>
  </si>
  <si>
    <t>Sensitivity Analysis</t>
  </si>
  <si>
    <t>Cap. Rate</t>
  </si>
  <si>
    <t>Cap. Value</t>
  </si>
  <si>
    <t>Residual Land Value</t>
  </si>
  <si>
    <t>---------------------------------------------------------------------------------------------&gt;</t>
  </si>
  <si>
    <t>Land Prices</t>
  </si>
  <si>
    <t>Land/sf</t>
  </si>
  <si>
    <t>TDC</t>
  </si>
  <si>
    <t>Hard Costs Sensitivity Analysis</t>
  </si>
  <si>
    <t>Affordable - Mandatory</t>
  </si>
  <si>
    <t>Affordable - Additional</t>
  </si>
  <si>
    <t>Residual Land Value (RLV)</t>
  </si>
  <si>
    <t>Pulled from prototype controls</t>
  </si>
  <si>
    <t>CAI Assumptions</t>
  </si>
  <si>
    <t>square feet</t>
  </si>
  <si>
    <t>Allowance for open space and access</t>
  </si>
  <si>
    <t>% of site size</t>
  </si>
  <si>
    <t>Total Site Coverage (podium)</t>
  </si>
  <si>
    <t>net/gross square feet</t>
  </si>
  <si>
    <t>Ground Floor Height</t>
  </si>
  <si>
    <t>Other Floor Height</t>
  </si>
  <si>
    <t>units</t>
  </si>
  <si>
    <t>of total units</t>
  </si>
  <si>
    <t>Average Unit Size (gross)</t>
  </si>
  <si>
    <t>Requirements</t>
  </si>
  <si>
    <t>per unit</t>
  </si>
  <si>
    <t>units per 1,000 sf</t>
  </si>
  <si>
    <t>stalls</t>
  </si>
  <si>
    <t>Parking Stall Size (gross)</t>
  </si>
  <si>
    <t>Parking Square Feet (Gross structured)</t>
  </si>
  <si>
    <t>Pulled from input controls</t>
  </si>
  <si>
    <t>CoStar/Comps</t>
  </si>
  <si>
    <t>Affordable Rents - Mandatory</t>
  </si>
  <si>
    <t>AMI Level</t>
  </si>
  <si>
    <t>ARCH</t>
  </si>
  <si>
    <t>Affordable Rents - Additional</t>
  </si>
  <si>
    <t>CoStar</t>
  </si>
  <si>
    <t>Placeholder</t>
  </si>
  <si>
    <t>Other</t>
  </si>
  <si>
    <t>of effective gross income</t>
  </si>
  <si>
    <t>months</t>
  </si>
  <si>
    <t>Rider, Levett, &amp; Bucknall</t>
  </si>
  <si>
    <t>Parking Costs (surface)</t>
  </si>
  <si>
    <t>of hard costs</t>
  </si>
  <si>
    <t>per net sf</t>
  </si>
  <si>
    <t>Site Prep Site Coverage</t>
  </si>
  <si>
    <t>Roadway</t>
  </si>
  <si>
    <t>Sidewalk</t>
  </si>
  <si>
    <t>Forbes</t>
  </si>
  <si>
    <t>Impact Fees</t>
  </si>
  <si>
    <t>Per unit/per GFA</t>
  </si>
  <si>
    <t>City of Bellevue (https://bellevuewa.gov/sites/default/files/media/pdf_document/impact-fee-rates.pdf)</t>
  </si>
  <si>
    <t xml:space="preserve"> </t>
  </si>
  <si>
    <t>Property Tax Rate</t>
  </si>
  <si>
    <t>City of Bellevue (https://bellevuewa.gov/city-government/departments/finance/bellevue-property-taxes#:~:text=Where%20does%20the%20money%20go,rate%20was%20%248.20%20per%20%241%2C000.)</t>
  </si>
  <si>
    <t>Annual Property Tax Rate Increase</t>
  </si>
  <si>
    <t>CBRE</t>
  </si>
  <si>
    <t>Unit Mix (%)</t>
  </si>
  <si>
    <t>Unit Mix (Count)</t>
  </si>
  <si>
    <t>Check</t>
  </si>
  <si>
    <t>Costs</t>
  </si>
  <si>
    <t>Other Costs</t>
  </si>
  <si>
    <t>Total Costs</t>
  </si>
  <si>
    <t>Financing Package</t>
  </si>
  <si>
    <t>Debt (Bank Loan)</t>
  </si>
  <si>
    <t>Equity</t>
  </si>
  <si>
    <t>Total Financing</t>
  </si>
  <si>
    <t>Construction Loan</t>
  </si>
  <si>
    <t>Month</t>
  </si>
  <si>
    <t>Construction Draw (cumulative)</t>
  </si>
  <si>
    <t>Interest</t>
  </si>
  <si>
    <t>Construction Draw</t>
  </si>
  <si>
    <t>Income and Rent Limits</t>
  </si>
  <si>
    <t>HUD released AMI</t>
  </si>
  <si>
    <t>Median Income:</t>
  </si>
  <si>
    <t xml:space="preserve">ARCH effective date </t>
  </si>
  <si>
    <t>Housing Expense Limit:</t>
  </si>
  <si>
    <t>of Maximum Household Income</t>
  </si>
  <si>
    <r>
      <rPr>
        <b/>
        <sz val="11"/>
        <rFont val="Century Gothic"/>
        <family val="2"/>
        <scheme val="minor"/>
      </rPr>
      <t>HOUSEHOLD INCOME LIMITS</t>
    </r>
    <r>
      <rPr>
        <sz val="11"/>
        <rFont val="Century Gothic"/>
        <family val="2"/>
        <scheme val="minor"/>
      </rPr>
      <t>--determined by household size</t>
    </r>
  </si>
  <si>
    <t>ALL LAND USE &amp; MFTE PROJECTS</t>
  </si>
  <si>
    <t>Percentage of AMI</t>
  </si>
  <si>
    <t>1 person</t>
  </si>
  <si>
    <t>2 persons</t>
  </si>
  <si>
    <t>3 persons</t>
  </si>
  <si>
    <t>4 persons</t>
  </si>
  <si>
    <t>5 persons</t>
  </si>
  <si>
    <t>6 persons</t>
  </si>
  <si>
    <t>7 persons</t>
  </si>
  <si>
    <t>8 person</t>
  </si>
  <si>
    <t>1-person</t>
  </si>
  <si>
    <t>2-person</t>
  </si>
  <si>
    <t>3-person</t>
  </si>
  <si>
    <t>4-person</t>
  </si>
  <si>
    <t>5-person</t>
  </si>
  <si>
    <t>6-person</t>
  </si>
  <si>
    <t>7-person</t>
  </si>
  <si>
    <t>8-person</t>
  </si>
  <si>
    <r>
      <rPr>
        <b/>
        <sz val="11"/>
        <rFont val="Century Gothic"/>
        <family val="2"/>
        <scheme val="minor"/>
      </rPr>
      <t>RENT LIMITS</t>
    </r>
    <r>
      <rPr>
        <sz val="11"/>
        <rFont val="Century Gothic"/>
        <family val="2"/>
        <scheme val="minor"/>
      </rPr>
      <t>--determined by bedrooms</t>
    </r>
  </si>
  <si>
    <t>LAND USE &amp; MFTE PROJECTS EXECUTED BEFORE MAY 1, 2019</t>
  </si>
  <si>
    <t>LAND USE &amp; MFTE PROJECTS EXECUTED AFTER MAY 1, 2019</t>
  </si>
  <si>
    <t>Per month</t>
  </si>
  <si>
    <t>Older covenants use the same occupancy multipliers to adjust income and rent limits, shown in gray, above.  Covenants executed after 5/1/19 use different multipliers for income and rent limits; new rent limit multipliers (in blue to the right) match those used by other programs, e.g, WSHFC.</t>
  </si>
  <si>
    <t>1.5-person</t>
  </si>
  <si>
    <t>4.5-person</t>
  </si>
  <si>
    <t>ALLOWANCES</t>
  </si>
  <si>
    <t>Column1</t>
  </si>
  <si>
    <t>Base Year</t>
  </si>
  <si>
    <t>Current</t>
  </si>
  <si>
    <t>Elect &amp; Gas</t>
  </si>
  <si>
    <t>HALF2, 1990</t>
  </si>
  <si>
    <t>Elect &amp; Gas CPI (Housing, All Urban Consumers, Not Seasonally Adjusted, Seattle-Tacoma-Bellevue WA)</t>
  </si>
  <si>
    <t>W/S/G</t>
  </si>
  <si>
    <t>W/S/G CPI (Housing, All Urban Consumers, Not Seasonally Adjusted, Seattle-Tacoma-Bellevue WA)</t>
  </si>
  <si>
    <t>Renter's insurance</t>
  </si>
  <si>
    <t>Annual, 2018</t>
  </si>
  <si>
    <t>Annual 2023</t>
  </si>
  <si>
    <t>Insurance CPI (All Items, All Urban Consumers, Not Seasonally Adjusted, Seattle-Tacoma-Bellevue WA)</t>
  </si>
  <si>
    <t>Sewer capacity</t>
  </si>
  <si>
    <t>Actual</t>
  </si>
  <si>
    <t>Pest control</t>
  </si>
  <si>
    <t>Other*</t>
  </si>
  <si>
    <t>Energy Base Year 1991</t>
  </si>
  <si>
    <t>W/S/G Base Year 2019</t>
  </si>
  <si>
    <t>Insurance Base Year 2019</t>
  </si>
  <si>
    <t>KCHA energy</t>
  </si>
  <si>
    <t>If landlord separates garbage from W/S, garbage value is $15.</t>
  </si>
  <si>
    <t>For comparison:</t>
  </si>
  <si>
    <t>Elect &amp; Gas CPI (Household Energy, Annual, All Urban Consumers, Not Seasonally Adjusted, Seattle-Tacoma-Bellevue WA):</t>
  </si>
  <si>
    <t>Base Year (1990) =</t>
  </si>
  <si>
    <t>Current Year (2021) =</t>
  </si>
  <si>
    <t>Prototype Selection</t>
  </si>
  <si>
    <t>Units (incentive_1)</t>
  </si>
  <si>
    <t>Units (incentive_2)</t>
  </si>
  <si>
    <t>Tier</t>
  </si>
  <si>
    <t>BelRed</t>
  </si>
  <si>
    <t>Suggested Value_Units</t>
  </si>
  <si>
    <t>Suggested Value_InLieu</t>
  </si>
  <si>
    <t>residential</t>
  </si>
  <si>
    <t>LEED v4 Certified</t>
  </si>
  <si>
    <t>Medical Office</t>
  </si>
  <si>
    <t>medical office</t>
  </si>
  <si>
    <t>LEED v4 Silver</t>
  </si>
  <si>
    <t>professional services office</t>
  </si>
  <si>
    <t>Mixed</t>
  </si>
  <si>
    <t>Mixed-use retail</t>
  </si>
  <si>
    <t>mixed-use retail</t>
  </si>
  <si>
    <t>https://bellevue.municipal.codes/LUC/20.25D.120</t>
  </si>
  <si>
    <t>BelRed In-Lieu Fees</t>
  </si>
  <si>
    <t>https://bellevuewa.gov/sites/default/files/media/pdf_document/permitfees_floor-area-ratio.pdf</t>
  </si>
  <si>
    <t>% of Project Costs</t>
  </si>
  <si>
    <t>New Private Development</t>
  </si>
  <si>
    <t>Multifamily</t>
  </si>
  <si>
    <t>Net-Zero Energy</t>
  </si>
  <si>
    <t>Source: https://media.alexandriava.gov/docs-archives/planning/info/gbtfwspprelimanalysisrecommendationsrevised.pdf</t>
  </si>
  <si>
    <t>Source Date: 2019</t>
  </si>
  <si>
    <t>Project Cost Increase</t>
  </si>
  <si>
    <t>Low Range</t>
  </si>
  <si>
    <t>High Range</t>
  </si>
  <si>
    <t>General Green Building</t>
  </si>
  <si>
    <t xml:space="preserve"> Square parcel/site</t>
  </si>
  <si>
    <t>Length of sides</t>
  </si>
  <si>
    <t>Righ tof Way Calculations</t>
  </si>
  <si>
    <t>Full length of the site.</t>
  </si>
  <si>
    <t>Road Length</t>
  </si>
  <si>
    <t>Right-of-way width</t>
  </si>
  <si>
    <t>Road</t>
  </si>
  <si>
    <t>Total right-of-way area</t>
  </si>
  <si>
    <t>Percent of Site</t>
  </si>
  <si>
    <t>GFA</t>
  </si>
  <si>
    <t>Residential Revenues</t>
  </si>
  <si>
    <t>Residential Vacancies</t>
  </si>
  <si>
    <t>Residential EGI</t>
  </si>
  <si>
    <t>Residential NOI</t>
  </si>
  <si>
    <t>Cap Rate*</t>
  </si>
  <si>
    <t>Residential Improvement Proxy</t>
  </si>
  <si>
    <t>Annual Property Tax Due</t>
  </si>
  <si>
    <t>*A higher cap rate is used to arrive at the residential improvement proxy in an effort to see improvement values and taxes due more closely aligned with values seen for comparable properties for each prototype analyzed for this analysis. This is necessary, as assessed improvement values often lag market value, current economic conditions notwithstanding.</t>
  </si>
  <si>
    <t>Year</t>
  </si>
  <si>
    <t>Tax Amount (Residential Only)</t>
  </si>
  <si>
    <t>MFTE Years</t>
  </si>
  <si>
    <t>Annual Rate Increase</t>
  </si>
  <si>
    <t>Discount Rate (Cap Rate + 1.25% spread)</t>
  </si>
  <si>
    <t>NPV</t>
  </si>
  <si>
    <t>Needed</t>
  </si>
  <si>
    <t>Dynamic Table</t>
  </si>
  <si>
    <t>% Change from Baseline</t>
  </si>
  <si>
    <t>TDC (w/o Land)</t>
  </si>
  <si>
    <t>TDC (w/ Land)</t>
  </si>
  <si>
    <t>RLV (CR = 4.75)</t>
  </si>
  <si>
    <t>YOC</t>
  </si>
  <si>
    <t>Supportable Rents</t>
  </si>
  <si>
    <t>Values</t>
  </si>
  <si>
    <t>Mid-rise</t>
  </si>
  <si>
    <t>% Increase</t>
  </si>
  <si>
    <t>High-rise</t>
  </si>
  <si>
    <t>Cap Value</t>
  </si>
  <si>
    <t>This pro forma model was developed to serve as an analysis tool for the City of Bellevue. The tool can help evaluate the magnitude and directionality of the impact of a combination of amenity and affordable housing requirements and incentives on potential returns for hypothetical residential and commercial development projects. This model primarily uses Residual Land Value (RLV) as a means to assess financial feasibility. RLV is the remaining money that a developer of a project could use to acquire the land needed for the project (after accounting for all other costs, including construction costs and the developer’s return).</t>
  </si>
  <si>
    <t>The inputs used in this analysis were collected in early 2024 and mostly reflect conditions in the second half of 2023 and the first quarter of 2024. As new data is released and market conditions change, model inputs will need to be updated to accurately reflect the current market.</t>
  </si>
  <si>
    <t>This workbook is organized into four categories: outputs, analysis, inputs, and data. Dynamic tabs will require user input; static tabs organize and display assumptions and data that comprise dynamic tabs.</t>
  </si>
  <si>
    <r>
      <t xml:space="preserve">These tabs contain </t>
    </r>
    <r>
      <rPr>
        <b/>
        <sz val="11"/>
        <color theme="1"/>
        <rFont val="Century Gothic"/>
        <family val="2"/>
      </rPr>
      <t>raw data from third-party sources</t>
    </r>
    <r>
      <rPr>
        <sz val="11"/>
        <color theme="1"/>
        <rFont val="Century Gothic"/>
        <family val="2"/>
      </rPr>
      <t xml:space="preserve"> that are used in the model.</t>
    </r>
  </si>
  <si>
    <t>Summarizes the directionality and magnitude of the baseline to scenario yield on cost changes.</t>
  </si>
  <si>
    <t>Summarizes the outputs for the prototype selected in the model controls tab. The tab can be used to copy and paste values to the static output exhibit.</t>
  </si>
  <si>
    <t>Allows users to manipulate the bonuses received for each additional amenity provided.</t>
  </si>
  <si>
    <t>Allows users to manipulate select prototype inputs.</t>
  </si>
  <si>
    <t>Allows users to manipulate select market inputs.</t>
  </si>
  <si>
    <t>Captures unit mix calculations for affordable and market-rate units.</t>
  </si>
  <si>
    <t>Drop-down</t>
  </si>
  <si>
    <t>Users need to select an option from a drop-down of options in these cells.</t>
  </si>
  <si>
    <t>Baseline, Base Scenario, and Max Scenario:</t>
  </si>
  <si>
    <t>An additional in-lieu fee can be used as an alternative for providing additional affordable housing.</t>
  </si>
  <si>
    <t>Units required to have 3 bedrooms.</t>
  </si>
  <si>
    <t>Dollars spent towards Eastrail improvements.</t>
  </si>
  <si>
    <t>Dollars spent towards Grand Connection improvements.</t>
  </si>
  <si>
    <r>
      <t xml:space="preserve">Additionally, the user can specify the bonuses associated with each amenity in the </t>
    </r>
    <r>
      <rPr>
        <b/>
        <sz val="11"/>
        <rFont val="Century Gothic"/>
        <family val="2"/>
        <scheme val="minor"/>
      </rPr>
      <t>Amenity Bonus Controls</t>
    </r>
    <r>
      <rPr>
        <sz val="11"/>
        <rFont val="Century Gothic"/>
        <family val="2"/>
        <scheme val="minor"/>
      </rPr>
      <t xml:space="preserve"> tab.</t>
    </r>
  </si>
  <si>
    <t>The model allows the user to test a scenario where a development has requirements for affordable housing, green building, or open space at a base density (base scenario) and can obtain a large density bonus by providing additional amenities (max scenario). The max scenario assumes the development will take full advantage of the allowed height bonus granted by providing additional amenities. The model compares the base and max scenario to a normal, market-rate development falling within the base density allowance.</t>
  </si>
  <si>
    <r>
      <t xml:space="preserve">Model results are displayed in the </t>
    </r>
    <r>
      <rPr>
        <b/>
        <sz val="11"/>
        <rFont val="Century Gothic"/>
        <family val="2"/>
        <scheme val="minor"/>
      </rPr>
      <t>Dynamic Output Exhibit</t>
    </r>
    <r>
      <rPr>
        <sz val="11"/>
        <rFont val="Century Gothic"/>
        <family val="2"/>
        <scheme val="minor"/>
      </rPr>
      <t xml:space="preserve"> tab. The model shows results for the baseline, base scenario, and max scenario (defined below) in the </t>
    </r>
    <r>
      <rPr>
        <b/>
        <sz val="11"/>
        <rFont val="Century Gothic"/>
        <family val="2"/>
        <scheme val="minor"/>
      </rPr>
      <t xml:space="preserve">Static Output Exhibits </t>
    </r>
    <r>
      <rPr>
        <sz val="11"/>
        <rFont val="Century Gothic"/>
        <family val="2"/>
        <scheme val="minor"/>
      </rPr>
      <t>tab. The Model Baseline, Base Scenario, and Max Scenario tabs capture the calculations that generated the RLV Output. The Model Baseline tab calculates the RLV for a 100% market-rate development, and the outputs from this tab are meant to be used as a baseline with which to compare outputs from the model scenario tabs. The Model Scenario Base tab captures a development that includes the mandatory amenity requirements under the base density for the hypothetical development's site. The outputs from this tab are meant to be compared to the baseline outputs to understand the magnitude and directionality of impacts created by the required amenities under the base density. The Model Scenario Max captures a development that chooses to provide additional amenities in addition to the required amenities to earn the maximum upzone under the max scenario. The outputs for this tab can be compared to the baseline and base scenario outputs to understand the magnitude and directionality of impacts the amenity requirements and upzone have on the development prototype under the max scenario.</t>
    </r>
  </si>
  <si>
    <t xml:space="preserve">Envisioned as a mixed-use tower with 20+ stories and consisting of ground-floor retail. </t>
  </si>
  <si>
    <t>The predefined baseline assumes all units in a development are market rate, and there is no requirement to include affordable units or any other amenities.</t>
  </si>
  <si>
    <t>Test mandatory requirements for affordable housing, affordable housing in-lieu fees, open space, and/or green building requirements alongside additional voluntary amenities to earn a density bonus represented as a max allowable density increase.</t>
  </si>
  <si>
    <t>Must be set to zero if Affordable (row 26) unit set aside above &gt; 0.</t>
  </si>
  <si>
    <t>The Baseline analyzes the selected prototype without a density/height bonus, while the Scenario tests the selected prototype, with inputs that reflect the proposed policy.</t>
  </si>
  <si>
    <t>To analyze individual amenities and the associated impacts on project feasibility, amenity inputs should be updated in tandem to ensure the amenity of interest is the only input changing.</t>
  </si>
  <si>
    <t>SF per 3 bedroom sf (total)</t>
  </si>
  <si>
    <t>3 bedroom units</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</si>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</sst>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_(&quot;$&quot;* #,##0_);_(&quot;$&quot;* \(#,##0\);_(&quot;$&quot;* &quot;-&quot;??_);_(@_)"/>
    <numFmt numFmtId="168" formatCode="_(* #,##0.000_);_(* \(#,##0.000\);_(* &quot;-&quot;??_);_(@_)"/>
    <numFmt numFmtId="169" formatCode="_(* #,##0.0_);_(* \(#,##0.0\);_(* &quot;-&quot;??_);_(@_)"/>
    <numFmt numFmtId="170" formatCode="0.0%"/>
    <numFmt numFmtId="171" formatCode="[$-409]mmmm\ d\,\ yyyy;@"/>
    <numFmt numFmtId="172" formatCode="&quot;$&quot;#,##0.0_);[Red]\(&quot;$&quot;#,##0.0\)"/>
    <numFmt numFmtId="173" formatCode="0.0%;[Red]\(0.0%\)"/>
    <numFmt numFmtId="174" formatCode="0.00%;[Red]\(0.00%\)"/>
    <numFmt numFmtId="175" formatCode="0.000%"/>
    <numFmt numFmtId="176" formatCode="0.000"/>
  </numFmts>
  <fonts count="50" x14ac:knownFonts="1">
    <font>
      <sz val="11"/>
      <color theme="1"/>
      <name val="Century Gothic"/>
      <family val="2"/>
      <scheme val="minor"/>
    </font>
    <font>
      <b/>
      <sz val="11"/>
      <color theme="1"/>
      <name val="Century Gothic"/>
      <family val="2"/>
      <scheme val="minor"/>
    </font>
    <font>
      <b/>
      <sz val="11"/>
      <color theme="1"/>
      <name val="Century Gothic"/>
      <family val="2"/>
    </font>
    <font>
      <sz val="11"/>
      <color theme="1"/>
      <name val="Century Gothic"/>
      <family val="2"/>
    </font>
    <font>
      <sz val="8"/>
      <name val="Century Gothic"/>
      <family val="2"/>
      <scheme val="minor"/>
    </font>
    <font>
      <sz val="11"/>
      <color theme="1"/>
      <name val="Century Gothic"/>
      <family val="2"/>
      <scheme val="minor"/>
    </font>
    <font>
      <sz val="11"/>
      <color rgb="FFFF0000"/>
      <name val="Century Gothic"/>
      <family val="2"/>
      <scheme val="minor"/>
    </font>
    <font>
      <sz val="11"/>
      <name val="Century Gothic"/>
      <family val="2"/>
      <scheme val="minor"/>
    </font>
    <font>
      <sz val="11"/>
      <color rgb="FFFF0000"/>
      <name val="Century Gothic"/>
      <family val="2"/>
    </font>
    <font>
      <sz val="11"/>
      <name val="Century Gothic"/>
      <family val="2"/>
    </font>
    <font>
      <b/>
      <sz val="11"/>
      <name val="Century Gothic"/>
      <family val="2"/>
    </font>
    <font>
      <sz val="12"/>
      <color rgb="FF595855"/>
      <name val="Arial"/>
      <family val="2"/>
    </font>
    <font>
      <i/>
      <sz val="11"/>
      <color theme="0" tint="-0.34998626667073579"/>
      <name val="Century Gothic"/>
      <family val="2"/>
    </font>
    <font>
      <sz val="10"/>
      <name val="Arial"/>
      <family val="2"/>
    </font>
    <font>
      <i/>
      <sz val="11"/>
      <color rgb="FFFF0000"/>
      <name val="Century Gothic"/>
      <family val="2"/>
      <scheme val="minor"/>
    </font>
    <font>
      <b/>
      <sz val="11"/>
      <name val="Century Gothic"/>
      <family val="2"/>
      <scheme val="minor"/>
    </font>
    <font>
      <sz val="11"/>
      <color theme="1" tint="0.499984740745262"/>
      <name val="Century Gothic"/>
      <family val="2"/>
      <scheme val="minor"/>
    </font>
    <font>
      <i/>
      <sz val="11"/>
      <name val="Century Gothic"/>
      <family val="2"/>
      <scheme val="minor"/>
    </font>
    <font>
      <b/>
      <sz val="9"/>
      <color indexed="81"/>
      <name val="Tahoma"/>
      <family val="2"/>
    </font>
    <font>
      <sz val="9"/>
      <color indexed="81"/>
      <name val="Tahoma"/>
      <family val="2"/>
    </font>
    <font>
      <b/>
      <sz val="14"/>
      <color theme="1"/>
      <name val="Century Gothic"/>
      <family val="2"/>
    </font>
    <font>
      <b/>
      <u/>
      <sz val="11"/>
      <color theme="1"/>
      <name val="Century Gothic"/>
      <family val="2"/>
    </font>
    <font>
      <sz val="14"/>
      <name val="Times New Roman"/>
      <family val="1"/>
    </font>
    <font>
      <b/>
      <u/>
      <sz val="14"/>
      <color theme="1"/>
      <name val="Century Gothic"/>
      <family val="2"/>
    </font>
    <font>
      <b/>
      <sz val="12"/>
      <color theme="1"/>
      <name val="Century Gothic"/>
      <family val="2"/>
    </font>
    <font>
      <b/>
      <sz val="11"/>
      <color rgb="FF000000"/>
      <name val="Century Gothic"/>
      <family val="2"/>
    </font>
    <font>
      <sz val="11"/>
      <color rgb="FF000000"/>
      <name val="Century Gothic"/>
      <family val="2"/>
    </font>
    <font>
      <sz val="11"/>
      <color theme="4" tint="-0.249977111117893"/>
      <name val="Century Gothic"/>
      <family val="2"/>
    </font>
    <font>
      <b/>
      <sz val="11"/>
      <color rgb="FFFF0000"/>
      <name val="Century Gothic"/>
      <family val="2"/>
    </font>
    <font>
      <b/>
      <sz val="11"/>
      <color theme="0"/>
      <name val="Century Gothic"/>
      <family val="2"/>
    </font>
    <font>
      <sz val="14"/>
      <color theme="1"/>
      <name val="Century Gothic"/>
      <family val="2"/>
    </font>
    <font>
      <b/>
      <sz val="18"/>
      <color theme="1"/>
      <name val="Century Gothic"/>
      <family val="2"/>
    </font>
    <font>
      <sz val="18"/>
      <color theme="0" tint="-0.499984740745262"/>
      <name val="Century Gothic"/>
      <family val="2"/>
    </font>
    <font>
      <i/>
      <sz val="11"/>
      <color theme="1"/>
      <name val="Century Gothic"/>
      <family val="2"/>
    </font>
    <font>
      <b/>
      <i/>
      <sz val="11"/>
      <color rgb="FFFF0000"/>
      <name val="Century Gothic"/>
      <family val="2"/>
      <scheme val="minor"/>
    </font>
    <font>
      <b/>
      <u/>
      <sz val="16"/>
      <color theme="1"/>
      <name val="Century Gothic"/>
      <family val="2"/>
    </font>
    <font>
      <b/>
      <u/>
      <sz val="14"/>
      <color rgb="FFFF0000"/>
      <name val="Century Gothic"/>
      <family val="2"/>
    </font>
    <font>
      <b/>
      <u/>
      <sz val="11"/>
      <color rgb="FFFF0000"/>
      <name val="Century Gothic"/>
      <family val="2"/>
    </font>
    <font>
      <i/>
      <sz val="11"/>
      <color theme="0" tint="-0.249977111117893"/>
      <name val="Century Gothic"/>
      <family val="2"/>
    </font>
    <font>
      <u/>
      <sz val="11"/>
      <color theme="10"/>
      <name val="Century Gothic"/>
      <family val="2"/>
      <scheme val="minor"/>
    </font>
    <font>
      <b/>
      <u/>
      <sz val="11"/>
      <color theme="1"/>
      <name val="Century Gothic"/>
      <family val="2"/>
      <scheme val="minor"/>
    </font>
    <font>
      <b/>
      <u/>
      <sz val="14"/>
      <color theme="1"/>
      <name val="Century Gothic"/>
      <family val="2"/>
      <scheme val="minor"/>
    </font>
    <font>
      <b/>
      <sz val="14"/>
      <color theme="1"/>
      <name val="Century Gothic"/>
      <family val="2"/>
      <scheme val="minor"/>
    </font>
    <font>
      <b/>
      <sz val="11"/>
      <color rgb="FFFF0000"/>
      <name val="Century Gothic"/>
      <family val="2"/>
      <scheme val="minor"/>
    </font>
    <font>
      <u/>
      <sz val="11"/>
      <name val="Century Gothic"/>
      <family val="2"/>
    </font>
    <font>
      <u/>
      <sz val="11"/>
      <name val="Century Gothic"/>
      <family val="2"/>
      <scheme val="minor"/>
    </font>
    <font>
      <b/>
      <u/>
      <sz val="11"/>
      <name val="Century Gothic"/>
      <family val="2"/>
      <scheme val="minor"/>
    </font>
    <font>
      <b/>
      <sz val="14"/>
      <name val="Century Gothic"/>
      <family val="2"/>
    </font>
    <font>
      <i/>
      <sz val="11"/>
      <color theme="0" tint="-0.249977111117893"/>
      <name val="Century Gothic"/>
      <family val="2"/>
      <scheme val="minor"/>
    </font>
    <font>
      <i/>
      <sz val="11"/>
      <name val="Century Gothic"/>
      <family val="2"/>
    </font>
  </fonts>
  <fills count="2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79998168889431442"/>
        <bgColor theme="6" tint="0.79998168889431442"/>
      </patternFill>
    </fill>
    <fill>
      <patternFill patternType="solid">
        <fgColor theme="0" tint="-4.9989318521683403E-2"/>
        <bgColor indexed="64"/>
      </patternFill>
    </fill>
    <fill>
      <patternFill patternType="solid">
        <fgColor theme="1" tint="4.9989318521683403E-2"/>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0" tint="-9.9978637043366805E-2"/>
        <bgColor indexed="64"/>
      </patternFill>
    </fill>
    <fill>
      <patternFill patternType="solid">
        <fgColor rgb="FFFFFFFF"/>
        <bgColor indexed="64"/>
      </patternFill>
    </fill>
    <fill>
      <patternFill patternType="solid">
        <fgColor theme="0" tint="-0.499984740745262"/>
        <bgColor indexed="64"/>
      </patternFill>
    </fill>
    <fill>
      <patternFill patternType="darkUp">
        <bgColor rgb="FFFFFFFF"/>
      </patternFill>
    </fill>
    <fill>
      <patternFill patternType="solid">
        <fgColor theme="6"/>
        <bgColor indexed="64"/>
      </patternFill>
    </fill>
    <fill>
      <patternFill patternType="solid">
        <fgColor rgb="FFEBEBEB"/>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right/>
      <top style="medium">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rgb="FF000000"/>
      </top>
      <bottom style="medium">
        <color theme="6"/>
      </bottom>
      <diagonal/>
    </border>
    <border>
      <left style="thin">
        <color theme="6"/>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6"/>
      </top>
      <bottom/>
      <diagonal/>
    </border>
    <border>
      <left style="thin">
        <color theme="6"/>
      </left>
      <right/>
      <top style="thin">
        <color theme="6"/>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medium">
        <color indexed="64"/>
      </bottom>
      <diagonal/>
    </border>
    <border>
      <left/>
      <right/>
      <top style="medium">
        <color indexed="64"/>
      </top>
      <bottom/>
      <diagonal/>
    </border>
    <border>
      <left style="thin">
        <color auto="1"/>
      </left>
      <right style="thin">
        <color auto="1"/>
      </right>
      <top style="thin">
        <color auto="1"/>
      </top>
      <bottom style="medium">
        <color auto="1"/>
      </bottom>
      <diagonal/>
    </border>
    <border>
      <left/>
      <right style="thin">
        <color auto="1"/>
      </right>
      <top style="thin">
        <color indexed="64"/>
      </top>
      <bottom style="medium">
        <color indexed="64"/>
      </bottom>
      <diagonal/>
    </border>
    <border>
      <left style="thin">
        <color auto="1"/>
      </left>
      <right/>
      <top/>
      <bottom style="medium">
        <color auto="1"/>
      </bottom>
      <diagonal/>
    </border>
  </borders>
  <cellStyleXfs count="8">
    <xf numFmtId="0" fontId="0" fillId="0" borderId="0"/>
    <xf numFmtId="9" fontId="5"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22" fillId="0" borderId="0"/>
    <xf numFmtId="44" fontId="5" fillId="0" borderId="0" applyFont="0" applyFill="0" applyBorder="0" applyAlignment="0" applyProtection="0"/>
    <xf numFmtId="0" fontId="39" fillId="0" borderId="0" applyNumberFormat="0" applyFill="0" applyBorder="0" applyAlignment="0" applyProtection="0"/>
  </cellStyleXfs>
  <cellXfs count="640">
    <xf numFmtId="0" fontId="0" fillId="0" borderId="0" xfId="0"/>
    <xf numFmtId="0" fontId="2" fillId="5" borderId="0" xfId="0" applyFont="1" applyFill="1"/>
    <xf numFmtId="0" fontId="2" fillId="5" borderId="0" xfId="0" applyFont="1" applyFill="1" applyAlignment="1">
      <alignment horizontal="right"/>
    </xf>
    <xf numFmtId="0" fontId="7" fillId="0" borderId="0" xfId="2" applyFont="1"/>
    <xf numFmtId="6" fontId="6" fillId="8" borderId="0" xfId="2" applyNumberFormat="1" applyFont="1" applyFill="1"/>
    <xf numFmtId="0" fontId="7" fillId="0" borderId="1" xfId="2" applyFont="1" applyBorder="1"/>
    <xf numFmtId="0" fontId="7" fillId="0" borderId="2" xfId="2" applyFont="1" applyBorder="1"/>
    <xf numFmtId="0" fontId="7" fillId="0" borderId="0" xfId="2" applyFont="1" applyAlignment="1">
      <alignment wrapText="1"/>
    </xf>
    <xf numFmtId="0" fontId="7" fillId="0" borderId="0" xfId="2" applyFont="1" applyAlignment="1">
      <alignment horizontal="center"/>
    </xf>
    <xf numFmtId="9" fontId="5" fillId="9" borderId="12" xfId="2" applyNumberFormat="1" applyFont="1" applyFill="1" applyBorder="1"/>
    <xf numFmtId="9" fontId="5" fillId="0" borderId="12" xfId="2" applyNumberFormat="1" applyFont="1" applyBorder="1"/>
    <xf numFmtId="9" fontId="7" fillId="0" borderId="0" xfId="2" applyNumberFormat="1" applyFont="1"/>
    <xf numFmtId="167" fontId="7" fillId="0" borderId="0" xfId="3" applyNumberFormat="1" applyFont="1" applyBorder="1"/>
    <xf numFmtId="44" fontId="7" fillId="0" borderId="0" xfId="2" applyNumberFormat="1" applyFont="1"/>
    <xf numFmtId="0" fontId="1" fillId="0" borderId="13" xfId="2" applyFont="1" applyBorder="1" applyAlignment="1">
      <alignment horizontal="center"/>
    </xf>
    <xf numFmtId="0" fontId="7" fillId="2" borderId="0" xfId="2" applyFont="1" applyFill="1"/>
    <xf numFmtId="0" fontId="7" fillId="0" borderId="0" xfId="2" applyFont="1" applyAlignment="1">
      <alignment horizontal="center" wrapText="1"/>
    </xf>
    <xf numFmtId="167" fontId="7" fillId="0" borderId="0" xfId="3" applyNumberFormat="1" applyFont="1"/>
    <xf numFmtId="0" fontId="7" fillId="8" borderId="0" xfId="2" applyFont="1" applyFill="1"/>
    <xf numFmtId="0" fontId="7" fillId="0" borderId="0" xfId="2" applyFont="1" applyAlignment="1">
      <alignment vertical="top" wrapText="1"/>
    </xf>
    <xf numFmtId="0" fontId="15" fillId="0" borderId="0" xfId="2" applyFont="1"/>
    <xf numFmtId="0" fontId="5" fillId="0" borderId="0" xfId="2" applyFont="1"/>
    <xf numFmtId="0" fontId="5" fillId="0" borderId="14" xfId="2" applyFont="1" applyBorder="1" applyAlignment="1">
      <alignment horizontal="center" wrapText="1"/>
    </xf>
    <xf numFmtId="0" fontId="5" fillId="0" borderId="17" xfId="2" applyFont="1" applyBorder="1" applyAlignment="1">
      <alignment wrapText="1"/>
    </xf>
    <xf numFmtId="167" fontId="5" fillId="0" borderId="18" xfId="3" applyNumberFormat="1" applyFont="1" applyFill="1" applyBorder="1" applyAlignment="1">
      <alignment vertical="top"/>
    </xf>
    <xf numFmtId="168" fontId="7" fillId="0" borderId="0" xfId="4" applyNumberFormat="1" applyFont="1" applyAlignment="1">
      <alignment vertical="top"/>
    </xf>
    <xf numFmtId="17" fontId="7" fillId="0" borderId="0" xfId="2" applyNumberFormat="1" applyFont="1" applyAlignment="1">
      <alignment vertical="top" wrapText="1"/>
    </xf>
    <xf numFmtId="0" fontId="15" fillId="0" borderId="0" xfId="2" applyFont="1" applyAlignment="1">
      <alignment vertical="top"/>
    </xf>
    <xf numFmtId="167" fontId="7" fillId="0" borderId="0" xfId="3" applyNumberFormat="1" applyFont="1" applyAlignment="1">
      <alignment vertical="top"/>
    </xf>
    <xf numFmtId="0" fontId="5" fillId="0" borderId="18" xfId="2" applyFont="1" applyBorder="1" applyAlignment="1">
      <alignment horizontal="center" vertical="top"/>
    </xf>
    <xf numFmtId="0" fontId="16" fillId="0" borderId="17" xfId="2" applyFont="1" applyBorder="1" applyAlignment="1">
      <alignment wrapText="1"/>
    </xf>
    <xf numFmtId="167" fontId="16" fillId="0" borderId="0" xfId="3" applyNumberFormat="1" applyFont="1" applyFill="1" applyBorder="1" applyAlignment="1">
      <alignment horizontal="center" vertical="top"/>
    </xf>
    <xf numFmtId="0" fontId="17" fillId="0" borderId="0" xfId="2" applyFont="1" applyAlignment="1">
      <alignment vertical="top"/>
    </xf>
    <xf numFmtId="0" fontId="16" fillId="0" borderId="17" xfId="2" applyFont="1" applyBorder="1" applyAlignment="1">
      <alignment vertical="top" wrapText="1"/>
    </xf>
    <xf numFmtId="167" fontId="16" fillId="0" borderId="0" xfId="3" applyNumberFormat="1" applyFont="1" applyAlignment="1">
      <alignment vertical="top"/>
    </xf>
    <xf numFmtId="0" fontId="16" fillId="0" borderId="0" xfId="2" applyFont="1" applyAlignment="1">
      <alignment vertical="top"/>
    </xf>
    <xf numFmtId="0" fontId="16" fillId="2" borderId="0" xfId="2" applyFont="1" applyFill="1"/>
    <xf numFmtId="167" fontId="16" fillId="2" borderId="0" xfId="3" applyNumberFormat="1" applyFont="1" applyFill="1" applyAlignment="1">
      <alignment vertical="top"/>
    </xf>
    <xf numFmtId="0" fontId="16" fillId="0" borderId="0" xfId="2" applyFont="1"/>
    <xf numFmtId="0" fontId="16" fillId="0" borderId="14" xfId="2" applyFont="1" applyBorder="1" applyAlignment="1">
      <alignment horizontal="center" wrapText="1"/>
    </xf>
    <xf numFmtId="169" fontId="16" fillId="0" borderId="0" xfId="4" applyNumberFormat="1" applyFont="1"/>
    <xf numFmtId="167" fontId="16" fillId="0" borderId="18" xfId="3" applyNumberFormat="1" applyFont="1" applyFill="1" applyBorder="1"/>
    <xf numFmtId="168" fontId="16" fillId="0" borderId="0" xfId="4" applyNumberFormat="1" applyFont="1"/>
    <xf numFmtId="167" fontId="16" fillId="0" borderId="0" xfId="3" applyNumberFormat="1" applyFont="1" applyFill="1" applyBorder="1" applyAlignment="1">
      <alignment horizontal="center"/>
    </xf>
    <xf numFmtId="169" fontId="7" fillId="0" borderId="0" xfId="4" applyNumberFormat="1" applyFont="1"/>
    <xf numFmtId="168" fontId="7" fillId="0" borderId="0" xfId="4" applyNumberFormat="1" applyFont="1"/>
    <xf numFmtId="167" fontId="7" fillId="0" borderId="0" xfId="2" applyNumberFormat="1" applyFont="1"/>
    <xf numFmtId="0" fontId="3" fillId="5" borderId="0" xfId="0" applyFont="1" applyFill="1"/>
    <xf numFmtId="9" fontId="3" fillId="6" borderId="19" xfId="1" applyFont="1" applyFill="1" applyBorder="1" applyAlignment="1">
      <alignment horizontal="right"/>
    </xf>
    <xf numFmtId="0" fontId="3" fillId="4" borderId="19" xfId="0" applyFont="1" applyFill="1" applyBorder="1" applyAlignment="1">
      <alignment horizontal="right"/>
    </xf>
    <xf numFmtId="0" fontId="3" fillId="3" borderId="19" xfId="0" applyFont="1" applyFill="1" applyBorder="1"/>
    <xf numFmtId="0" fontId="3" fillId="4" borderId="19" xfId="0" applyFont="1" applyFill="1" applyBorder="1"/>
    <xf numFmtId="0" fontId="3" fillId="6" borderId="19" xfId="0" applyFont="1" applyFill="1" applyBorder="1"/>
    <xf numFmtId="0" fontId="3" fillId="10" borderId="0" xfId="0" applyFont="1" applyFill="1" applyAlignment="1">
      <alignment horizontal="left"/>
    </xf>
    <xf numFmtId="0" fontId="3" fillId="10" borderId="0" xfId="0" applyFont="1" applyFill="1"/>
    <xf numFmtId="0" fontId="9" fillId="4" borderId="19" xfId="0" applyFont="1" applyFill="1" applyBorder="1" applyAlignment="1">
      <alignment horizontal="right"/>
    </xf>
    <xf numFmtId="9" fontId="3" fillId="4" borderId="19" xfId="1" applyFont="1" applyFill="1" applyBorder="1"/>
    <xf numFmtId="9" fontId="3" fillId="3" borderId="19" xfId="1" applyFont="1" applyFill="1" applyBorder="1" applyAlignment="1">
      <alignment horizontal="right"/>
    </xf>
    <xf numFmtId="0" fontId="9" fillId="3" borderId="19" xfId="0" applyFont="1" applyFill="1" applyBorder="1" applyAlignment="1">
      <alignment horizontal="right"/>
    </xf>
    <xf numFmtId="9" fontId="2" fillId="5" borderId="0" xfId="0" applyNumberFormat="1" applyFont="1" applyFill="1"/>
    <xf numFmtId="0" fontId="2" fillId="5" borderId="2" xfId="0" applyFont="1" applyFill="1" applyBorder="1"/>
    <xf numFmtId="0" fontId="3" fillId="5" borderId="2" xfId="0" applyFont="1" applyFill="1" applyBorder="1"/>
    <xf numFmtId="0" fontId="3" fillId="4" borderId="20" xfId="0" applyFont="1" applyFill="1" applyBorder="1"/>
    <xf numFmtId="0" fontId="3" fillId="4" borderId="19" xfId="0" applyFont="1" applyFill="1" applyBorder="1" applyAlignment="1">
      <alignment vertical="center"/>
    </xf>
    <xf numFmtId="0" fontId="25" fillId="5" borderId="0" xfId="0" applyFont="1" applyFill="1"/>
    <xf numFmtId="0" fontId="29" fillId="11" borderId="0" xfId="0" applyFont="1" applyFill="1" applyAlignment="1">
      <alignment vertical="center"/>
    </xf>
    <xf numFmtId="0" fontId="29" fillId="11" borderId="0" xfId="0" applyFont="1" applyFill="1" applyAlignment="1">
      <alignment vertical="center" wrapText="1"/>
    </xf>
    <xf numFmtId="0" fontId="29" fillId="12" borderId="0" xfId="0" applyFont="1" applyFill="1" applyAlignment="1">
      <alignment vertical="center"/>
    </xf>
    <xf numFmtId="0" fontId="3" fillId="12" borderId="0" xfId="0" applyFont="1" applyFill="1" applyAlignment="1">
      <alignment vertical="center"/>
    </xf>
    <xf numFmtId="0" fontId="3" fillId="12" borderId="0" xfId="0" applyFont="1" applyFill="1" applyAlignment="1">
      <alignment vertical="center" wrapText="1"/>
    </xf>
    <xf numFmtId="0" fontId="29" fillId="13" borderId="0" xfId="0" applyFont="1" applyFill="1" applyAlignment="1">
      <alignment vertical="center"/>
    </xf>
    <xf numFmtId="0" fontId="29" fillId="13" borderId="0" xfId="0" applyFont="1" applyFill="1" applyAlignment="1">
      <alignment vertical="center" wrapText="1"/>
    </xf>
    <xf numFmtId="0" fontId="29" fillId="14" borderId="0" xfId="0" applyFont="1" applyFill="1" applyAlignment="1">
      <alignment vertical="center"/>
    </xf>
    <xf numFmtId="0" fontId="29" fillId="14" borderId="0" xfId="0" applyFont="1" applyFill="1" applyAlignment="1">
      <alignment vertical="center" wrapText="1"/>
    </xf>
    <xf numFmtId="0" fontId="3" fillId="4" borderId="0" xfId="0" applyFont="1" applyFill="1" applyAlignment="1">
      <alignment vertical="center"/>
    </xf>
    <xf numFmtId="0" fontId="3" fillId="4" borderId="0" xfId="0" applyFont="1" applyFill="1" applyAlignment="1">
      <alignment vertical="center" wrapText="1"/>
    </xf>
    <xf numFmtId="0" fontId="3" fillId="15" borderId="0" xfId="0" applyFont="1" applyFill="1" applyAlignment="1">
      <alignment vertical="center"/>
    </xf>
    <xf numFmtId="0" fontId="3" fillId="15" borderId="0" xfId="0" applyFont="1" applyFill="1" applyAlignment="1">
      <alignment vertical="center" wrapText="1"/>
    </xf>
    <xf numFmtId="0" fontId="3" fillId="16" borderId="0" xfId="0" applyFont="1" applyFill="1"/>
    <xf numFmtId="0" fontId="3" fillId="16" borderId="0" xfId="0" applyFont="1" applyFill="1" applyAlignment="1">
      <alignment horizontal="left"/>
    </xf>
    <xf numFmtId="0" fontId="3" fillId="16" borderId="0" xfId="0" applyFont="1" applyFill="1" applyAlignment="1">
      <alignment vertical="center"/>
    </xf>
    <xf numFmtId="0" fontId="3" fillId="16" borderId="0" xfId="0" applyFont="1" applyFill="1" applyAlignment="1">
      <alignment vertical="center" wrapText="1"/>
    </xf>
    <xf numFmtId="0" fontId="3" fillId="16" borderId="0" xfId="0" applyFont="1" applyFill="1" applyAlignment="1">
      <alignment wrapText="1"/>
    </xf>
    <xf numFmtId="0" fontId="2" fillId="16" borderId="0" xfId="0" applyFont="1" applyFill="1"/>
    <xf numFmtId="0" fontId="3" fillId="16" borderId="11" xfId="0" applyFont="1" applyFill="1" applyBorder="1"/>
    <xf numFmtId="0" fontId="29" fillId="17" borderId="0" xfId="0" applyFont="1" applyFill="1" applyAlignment="1">
      <alignment vertical="center"/>
    </xf>
    <xf numFmtId="0" fontId="29" fillId="17" borderId="0" xfId="0" applyFont="1" applyFill="1" applyAlignment="1">
      <alignment vertical="center" wrapText="1"/>
    </xf>
    <xf numFmtId="0" fontId="25" fillId="16" borderId="0" xfId="0" applyFont="1" applyFill="1"/>
    <xf numFmtId="0" fontId="26" fillId="16" borderId="0" xfId="0" applyFont="1" applyFill="1"/>
    <xf numFmtId="9" fontId="26" fillId="16" borderId="0" xfId="0" applyNumberFormat="1" applyFont="1" applyFill="1"/>
    <xf numFmtId="0" fontId="25" fillId="16" borderId="0" xfId="0" applyFont="1" applyFill="1" applyAlignment="1">
      <alignment horizontal="left" indent="1"/>
    </xf>
    <xf numFmtId="0" fontId="25" fillId="16" borderId="0" xfId="0" applyFont="1" applyFill="1" applyAlignment="1">
      <alignment horizontal="center" vertical="center"/>
    </xf>
    <xf numFmtId="0" fontId="26" fillId="16" borderId="0" xfId="0" applyFont="1" applyFill="1" applyAlignment="1">
      <alignment horizontal="left" indent="2"/>
    </xf>
    <xf numFmtId="3" fontId="26" fillId="16" borderId="0" xfId="0" applyNumberFormat="1" applyFont="1" applyFill="1"/>
    <xf numFmtId="6" fontId="26" fillId="16" borderId="0" xfId="0" applyNumberFormat="1" applyFont="1" applyFill="1" applyAlignment="1">
      <alignment horizontal="right"/>
    </xf>
    <xf numFmtId="0" fontId="3" fillId="16" borderId="0" xfId="0" applyFont="1" applyFill="1" applyAlignment="1">
      <alignment horizontal="left" indent="2"/>
    </xf>
    <xf numFmtId="166" fontId="3" fillId="16" borderId="0" xfId="0" applyNumberFormat="1" applyFont="1" applyFill="1" applyAlignment="1">
      <alignment horizontal="right"/>
    </xf>
    <xf numFmtId="6" fontId="26" fillId="16" borderId="0" xfId="0" applyNumberFormat="1" applyFont="1" applyFill="1"/>
    <xf numFmtId="0" fontId="9" fillId="16" borderId="0" xfId="0" applyFont="1" applyFill="1" applyAlignment="1">
      <alignment horizontal="left" indent="2"/>
    </xf>
    <xf numFmtId="9" fontId="3" fillId="16" borderId="0" xfId="0" applyNumberFormat="1" applyFont="1" applyFill="1"/>
    <xf numFmtId="10" fontId="27" fillId="16" borderId="0" xfId="1" applyNumberFormat="1" applyFont="1" applyFill="1"/>
    <xf numFmtId="3" fontId="26" fillId="16" borderId="0" xfId="0" applyNumberFormat="1" applyFont="1" applyFill="1" applyAlignment="1">
      <alignment horizontal="right"/>
    </xf>
    <xf numFmtId="0" fontId="26" fillId="16" borderId="0" xfId="0" applyFont="1" applyFill="1" applyAlignment="1">
      <alignment horizontal="left" indent="1"/>
    </xf>
    <xf numFmtId="3" fontId="3" fillId="16" borderId="0" xfId="0" applyNumberFormat="1" applyFont="1" applyFill="1" applyAlignment="1">
      <alignment horizontal="right"/>
    </xf>
    <xf numFmtId="165" fontId="3" fillId="16" borderId="0" xfId="0" applyNumberFormat="1" applyFont="1" applyFill="1" applyAlignment="1">
      <alignment horizontal="right"/>
    </xf>
    <xf numFmtId="166" fontId="26" fillId="16" borderId="0" xfId="0" applyNumberFormat="1" applyFont="1" applyFill="1" applyAlignment="1">
      <alignment horizontal="right"/>
    </xf>
    <xf numFmtId="6" fontId="25" fillId="16" borderId="0" xfId="0" applyNumberFormat="1" applyFont="1" applyFill="1"/>
    <xf numFmtId="0" fontId="25" fillId="16" borderId="0" xfId="0" applyFont="1" applyFill="1" applyAlignment="1">
      <alignment horizontal="left"/>
    </xf>
    <xf numFmtId="0" fontId="9" fillId="16" borderId="0" xfId="0" applyFont="1" applyFill="1" applyAlignment="1">
      <alignment horizontal="left" indent="1"/>
    </xf>
    <xf numFmtId="6" fontId="9" fillId="16" borderId="0" xfId="0" applyNumberFormat="1" applyFont="1" applyFill="1"/>
    <xf numFmtId="6" fontId="9" fillId="16" borderId="0" xfId="0" applyNumberFormat="1" applyFont="1" applyFill="1" applyAlignment="1">
      <alignment horizontal="right"/>
    </xf>
    <xf numFmtId="3" fontId="25" fillId="16" borderId="0" xfId="0" applyNumberFormat="1" applyFont="1" applyFill="1" applyAlignment="1">
      <alignment horizontal="right"/>
    </xf>
    <xf numFmtId="1" fontId="25" fillId="16" borderId="0" xfId="0" applyNumberFormat="1" applyFont="1" applyFill="1" applyAlignment="1">
      <alignment horizontal="right"/>
    </xf>
    <xf numFmtId="165" fontId="25" fillId="16" borderId="0" xfId="0" applyNumberFormat="1" applyFont="1" applyFill="1" applyAlignment="1">
      <alignment horizontal="right"/>
    </xf>
    <xf numFmtId="166" fontId="25" fillId="16" borderId="0" xfId="0" applyNumberFormat="1" applyFont="1" applyFill="1" applyAlignment="1">
      <alignment horizontal="right"/>
    </xf>
    <xf numFmtId="0" fontId="3" fillId="18" borderId="0" xfId="0" applyFont="1" applyFill="1" applyAlignment="1">
      <alignment horizontal="right"/>
    </xf>
    <xf numFmtId="166" fontId="3" fillId="16" borderId="0" xfId="0" applyNumberFormat="1" applyFont="1" applyFill="1"/>
    <xf numFmtId="0" fontId="3" fillId="16" borderId="0" xfId="0" applyFont="1" applyFill="1" applyAlignment="1">
      <alignment horizontal="left" indent="1"/>
    </xf>
    <xf numFmtId="5" fontId="25" fillId="16" borderId="0" xfId="0" applyNumberFormat="1" applyFont="1" applyFill="1" applyAlignment="1">
      <alignment horizontal="right"/>
    </xf>
    <xf numFmtId="166" fontId="2" fillId="16" borderId="0" xfId="0" applyNumberFormat="1" applyFont="1" applyFill="1" applyAlignment="1">
      <alignment horizontal="right"/>
    </xf>
    <xf numFmtId="9" fontId="9" fillId="16" borderId="0" xfId="1" applyFont="1" applyFill="1"/>
    <xf numFmtId="166" fontId="9" fillId="16" borderId="0" xfId="1" applyNumberFormat="1" applyFont="1" applyFill="1"/>
    <xf numFmtId="3" fontId="3" fillId="16" borderId="0" xfId="0" applyNumberFormat="1" applyFont="1" applyFill="1"/>
    <xf numFmtId="165" fontId="3" fillId="16" borderId="0" xfId="0" applyNumberFormat="1" applyFont="1" applyFill="1"/>
    <xf numFmtId="0" fontId="9" fillId="16" borderId="0" xfId="0" applyFont="1" applyFill="1"/>
    <xf numFmtId="3" fontId="2" fillId="16" borderId="0" xfId="0" applyNumberFormat="1" applyFont="1" applyFill="1"/>
    <xf numFmtId="0" fontId="2" fillId="16" borderId="0" xfId="0" applyFont="1" applyFill="1" applyAlignment="1">
      <alignment horizontal="right"/>
    </xf>
    <xf numFmtId="166" fontId="2" fillId="16" borderId="0" xfId="0" applyNumberFormat="1" applyFont="1" applyFill="1"/>
    <xf numFmtId="10" fontId="9" fillId="16" borderId="0" xfId="1" applyNumberFormat="1" applyFont="1" applyFill="1"/>
    <xf numFmtId="0" fontId="3" fillId="16" borderId="0" xfId="0" applyFont="1" applyFill="1" applyAlignment="1">
      <alignment horizontal="right"/>
    </xf>
    <xf numFmtId="0" fontId="8" fillId="16" borderId="0" xfId="0" applyFont="1" applyFill="1"/>
    <xf numFmtId="6" fontId="8" fillId="16" borderId="0" xfId="0" applyNumberFormat="1" applyFont="1" applyFill="1"/>
    <xf numFmtId="0" fontId="26" fillId="16" borderId="0" xfId="0" quotePrefix="1" applyFont="1" applyFill="1"/>
    <xf numFmtId="0" fontId="0" fillId="16" borderId="0" xfId="0" applyFill="1"/>
    <xf numFmtId="0" fontId="2" fillId="16" borderId="0" xfId="0" applyFont="1" applyFill="1" applyAlignment="1">
      <alignment horizontal="center" vertical="center"/>
    </xf>
    <xf numFmtId="9" fontId="3" fillId="3" borderId="19" xfId="1" applyFont="1" applyFill="1" applyBorder="1"/>
    <xf numFmtId="0" fontId="21" fillId="16" borderId="0" xfId="0" applyFont="1" applyFill="1"/>
    <xf numFmtId="0" fontId="3" fillId="16" borderId="2" xfId="0" applyFont="1" applyFill="1" applyBorder="1"/>
    <xf numFmtId="0" fontId="20" fillId="16" borderId="0" xfId="0" applyFont="1" applyFill="1"/>
    <xf numFmtId="0" fontId="2" fillId="16" borderId="3" xfId="0" applyFont="1" applyFill="1" applyBorder="1"/>
    <xf numFmtId="0" fontId="2" fillId="16" borderId="3" xfId="0" applyFont="1" applyFill="1" applyBorder="1" applyAlignment="1">
      <alignment horizontal="center" vertical="center"/>
    </xf>
    <xf numFmtId="0" fontId="2" fillId="16" borderId="0" xfId="0" applyFont="1" applyFill="1" applyAlignment="1">
      <alignment horizontal="left"/>
    </xf>
    <xf numFmtId="3" fontId="10" fillId="16" borderId="0" xfId="0" applyNumberFormat="1" applyFont="1" applyFill="1" applyAlignment="1">
      <alignment horizontal="right"/>
    </xf>
    <xf numFmtId="3" fontId="9" fillId="16" borderId="0" xfId="0" applyNumberFormat="1" applyFont="1" applyFill="1" applyAlignment="1">
      <alignment horizontal="right"/>
    </xf>
    <xf numFmtId="9" fontId="3" fillId="16" borderId="0" xfId="0" applyNumberFormat="1" applyFont="1" applyFill="1" applyAlignment="1">
      <alignment horizontal="right"/>
    </xf>
    <xf numFmtId="0" fontId="3" fillId="16" borderId="11" xfId="0" applyFont="1" applyFill="1" applyBorder="1" applyAlignment="1">
      <alignment horizontal="left"/>
    </xf>
    <xf numFmtId="3" fontId="9" fillId="16" borderId="11" xfId="0" applyNumberFormat="1" applyFont="1" applyFill="1" applyBorder="1" applyAlignment="1">
      <alignment horizontal="right"/>
    </xf>
    <xf numFmtId="0" fontId="9" fillId="16" borderId="0" xfId="0" applyFont="1" applyFill="1" applyAlignment="1">
      <alignment horizontal="right"/>
    </xf>
    <xf numFmtId="3" fontId="9" fillId="16" borderId="0" xfId="0" applyNumberFormat="1" applyFont="1" applyFill="1"/>
    <xf numFmtId="9" fontId="3" fillId="16" borderId="0" xfId="1" applyFont="1" applyFill="1" applyAlignment="1">
      <alignment horizontal="right"/>
    </xf>
    <xf numFmtId="0" fontId="11" fillId="16" borderId="0" xfId="0" applyFont="1" applyFill="1"/>
    <xf numFmtId="9" fontId="3" fillId="16" borderId="0" xfId="1" applyFont="1" applyFill="1"/>
    <xf numFmtId="0" fontId="9" fillId="16" borderId="0" xfId="0" applyFont="1" applyFill="1" applyAlignment="1">
      <alignment horizontal="left"/>
    </xf>
    <xf numFmtId="0" fontId="1" fillId="16" borderId="0" xfId="0" applyFont="1" applyFill="1"/>
    <xf numFmtId="9" fontId="0" fillId="16" borderId="0" xfId="0" applyNumberFormat="1" applyFill="1"/>
    <xf numFmtId="0" fontId="0" fillId="16" borderId="0" xfId="0" applyFill="1" applyAlignment="1">
      <alignment horizontal="right"/>
    </xf>
    <xf numFmtId="10" fontId="0" fillId="16" borderId="0" xfId="0" applyNumberFormat="1" applyFill="1"/>
    <xf numFmtId="4" fontId="3" fillId="16" borderId="0" xfId="0" applyNumberFormat="1" applyFont="1" applyFill="1"/>
    <xf numFmtId="0" fontId="3" fillId="16" borderId="11" xfId="0" applyFont="1" applyFill="1" applyBorder="1" applyAlignment="1">
      <alignment horizontal="left" indent="1"/>
    </xf>
    <xf numFmtId="0" fontId="21" fillId="16" borderId="0" xfId="0" applyFont="1" applyFill="1" applyAlignment="1">
      <alignment vertical="center"/>
    </xf>
    <xf numFmtId="0" fontId="23" fillId="16" borderId="0" xfId="0" applyFont="1" applyFill="1" applyAlignment="1">
      <alignment horizontal="left" vertical="center" wrapText="1"/>
    </xf>
    <xf numFmtId="0" fontId="23" fillId="16" borderId="0" xfId="0" applyFont="1" applyFill="1"/>
    <xf numFmtId="170" fontId="3" fillId="16" borderId="0" xfId="1" applyNumberFormat="1" applyFont="1" applyFill="1"/>
    <xf numFmtId="9" fontId="3" fillId="16" borderId="0" xfId="1" applyFont="1" applyFill="1" applyBorder="1"/>
    <xf numFmtId="10" fontId="3" fillId="16" borderId="0" xfId="0" applyNumberFormat="1" applyFont="1" applyFill="1"/>
    <xf numFmtId="166" fontId="3" fillId="16" borderId="0" xfId="0" applyNumberFormat="1" applyFont="1" applyFill="1" applyAlignment="1">
      <alignment horizontal="left"/>
    </xf>
    <xf numFmtId="0" fontId="24" fillId="16" borderId="0" xfId="0" applyFont="1" applyFill="1"/>
    <xf numFmtId="0" fontId="2" fillId="16" borderId="0" xfId="0" applyFont="1" applyFill="1" applyAlignment="1">
      <alignment horizontal="left" indent="1"/>
    </xf>
    <xf numFmtId="0" fontId="2" fillId="16" borderId="11" xfId="0" applyFont="1" applyFill="1" applyBorder="1" applyAlignment="1">
      <alignment horizontal="left" indent="1"/>
    </xf>
    <xf numFmtId="9" fontId="3" fillId="16" borderId="11" xfId="0" applyNumberFormat="1" applyFont="1" applyFill="1" applyBorder="1"/>
    <xf numFmtId="9" fontId="3" fillId="16" borderId="11" xfId="0" applyNumberFormat="1" applyFont="1" applyFill="1" applyBorder="1" applyAlignment="1">
      <alignment horizontal="right"/>
    </xf>
    <xf numFmtId="0" fontId="2" fillId="16" borderId="4" xfId="0" applyFont="1" applyFill="1" applyBorder="1"/>
    <xf numFmtId="3" fontId="2" fillId="16" borderId="4" xfId="0" applyNumberFormat="1" applyFont="1" applyFill="1" applyBorder="1" applyAlignment="1">
      <alignment horizontal="right"/>
    </xf>
    <xf numFmtId="0" fontId="12" fillId="16" borderId="0" xfId="0" applyFont="1" applyFill="1"/>
    <xf numFmtId="3" fontId="12" fillId="16" borderId="0" xfId="0" applyNumberFormat="1" applyFont="1" applyFill="1"/>
    <xf numFmtId="1" fontId="12" fillId="16" borderId="0" xfId="0" applyNumberFormat="1" applyFont="1" applyFill="1" applyAlignment="1">
      <alignment horizontal="right"/>
    </xf>
    <xf numFmtId="0" fontId="12" fillId="16" borderId="1" xfId="0" applyFont="1" applyFill="1" applyBorder="1"/>
    <xf numFmtId="3" fontId="12" fillId="16" borderId="1" xfId="0" applyNumberFormat="1" applyFont="1" applyFill="1" applyBorder="1"/>
    <xf numFmtId="0" fontId="2" fillId="16" borderId="1" xfId="0" applyFont="1" applyFill="1" applyBorder="1"/>
    <xf numFmtId="3" fontId="2" fillId="16" borderId="1" xfId="0" applyNumberFormat="1" applyFont="1" applyFill="1" applyBorder="1"/>
    <xf numFmtId="0" fontId="12" fillId="16" borderId="21" xfId="0" applyFont="1" applyFill="1" applyBorder="1"/>
    <xf numFmtId="3" fontId="12" fillId="16" borderId="21" xfId="0" applyNumberFormat="1" applyFont="1" applyFill="1" applyBorder="1"/>
    <xf numFmtId="6" fontId="3" fillId="16" borderId="0" xfId="0" applyNumberFormat="1" applyFont="1" applyFill="1" applyAlignment="1">
      <alignment horizontal="right"/>
    </xf>
    <xf numFmtId="6" fontId="3" fillId="16" borderId="0" xfId="0" applyNumberFormat="1" applyFont="1" applyFill="1"/>
    <xf numFmtId="0" fontId="2" fillId="16" borderId="0" xfId="0" applyFont="1" applyFill="1" applyAlignment="1">
      <alignment horizontal="center"/>
    </xf>
    <xf numFmtId="1" fontId="7" fillId="0" borderId="0" xfId="2" applyNumberFormat="1" applyFont="1"/>
    <xf numFmtId="0" fontId="0" fillId="16" borderId="0" xfId="0" applyFill="1" applyAlignment="1">
      <alignment horizontal="center" vertical="center"/>
    </xf>
    <xf numFmtId="9" fontId="0" fillId="16" borderId="0" xfId="1" applyFont="1" applyFill="1"/>
    <xf numFmtId="0" fontId="0" fillId="16" borderId="0" xfId="0" applyFill="1" applyAlignment="1">
      <alignment horizontal="left" indent="2"/>
    </xf>
    <xf numFmtId="0" fontId="1" fillId="16" borderId="0" xfId="0" quotePrefix="1" applyFont="1" applyFill="1"/>
    <xf numFmtId="10" fontId="10" fillId="16" borderId="0" xfId="1" applyNumberFormat="1" applyFont="1" applyFill="1" applyBorder="1" applyAlignment="1"/>
    <xf numFmtId="10" fontId="3" fillId="16" borderId="0" xfId="1" applyNumberFormat="1" applyFont="1" applyFill="1"/>
    <xf numFmtId="172" fontId="3" fillId="16" borderId="0" xfId="0" applyNumberFormat="1" applyFont="1" applyFill="1"/>
    <xf numFmtId="165" fontId="9" fillId="3" borderId="19" xfId="0" applyNumberFormat="1" applyFont="1" applyFill="1" applyBorder="1" applyAlignment="1">
      <alignment horizontal="right"/>
    </xf>
    <xf numFmtId="6" fontId="0" fillId="16" borderId="0" xfId="0" applyNumberFormat="1" applyFill="1"/>
    <xf numFmtId="0" fontId="9" fillId="16" borderId="11" xfId="0" applyFont="1" applyFill="1" applyBorder="1" applyAlignment="1">
      <alignment horizontal="left" indent="1"/>
    </xf>
    <xf numFmtId="0" fontId="10" fillId="16" borderId="0" xfId="0" applyFont="1" applyFill="1"/>
    <xf numFmtId="3" fontId="3" fillId="16" borderId="4" xfId="0" applyNumberFormat="1" applyFont="1" applyFill="1" applyBorder="1" applyAlignment="1">
      <alignment horizontal="right"/>
    </xf>
    <xf numFmtId="0" fontId="29" fillId="19" borderId="0" xfId="0" applyFont="1" applyFill="1" applyAlignment="1">
      <alignment vertical="center"/>
    </xf>
    <xf numFmtId="0" fontId="29" fillId="19" borderId="0" xfId="0" applyFont="1" applyFill="1" applyAlignment="1">
      <alignment vertical="center" wrapText="1"/>
    </xf>
    <xf numFmtId="9" fontId="3" fillId="4" borderId="19" xfId="1" applyFont="1" applyFill="1" applyBorder="1" applyAlignment="1">
      <alignment horizontal="right"/>
    </xf>
    <xf numFmtId="0" fontId="25" fillId="16" borderId="0" xfId="0" applyFont="1" applyFill="1" applyAlignment="1">
      <alignment horizontal="center"/>
    </xf>
    <xf numFmtId="0" fontId="34" fillId="16" borderId="0" xfId="0" applyFont="1" applyFill="1"/>
    <xf numFmtId="10" fontId="0" fillId="16" borderId="0" xfId="1" applyNumberFormat="1" applyFont="1" applyFill="1" applyBorder="1" applyAlignment="1"/>
    <xf numFmtId="10" fontId="9" fillId="16" borderId="0" xfId="1" applyNumberFormat="1" applyFont="1" applyFill="1" applyAlignment="1">
      <alignment horizontal="right"/>
    </xf>
    <xf numFmtId="0" fontId="3" fillId="20" borderId="0" xfId="0" applyFont="1" applyFill="1" applyAlignment="1">
      <alignment horizontal="left" indent="1"/>
    </xf>
    <xf numFmtId="0" fontId="3" fillId="20" borderId="0" xfId="0" applyFont="1" applyFill="1"/>
    <xf numFmtId="0" fontId="3" fillId="20" borderId="0" xfId="0" applyFont="1" applyFill="1" applyAlignment="1">
      <alignment horizontal="left"/>
    </xf>
    <xf numFmtId="0" fontId="3" fillId="3" borderId="0" xfId="0" applyFont="1" applyFill="1" applyAlignment="1">
      <alignment vertical="center"/>
    </xf>
    <xf numFmtId="0" fontId="3" fillId="3" borderId="0" xfId="0" applyFont="1" applyFill="1" applyAlignment="1">
      <alignment vertical="center" wrapText="1"/>
    </xf>
    <xf numFmtId="0" fontId="3" fillId="16" borderId="0" xfId="0" applyFont="1" applyFill="1" applyAlignment="1">
      <alignment horizontal="left" vertical="center"/>
    </xf>
    <xf numFmtId="10" fontId="0" fillId="16" borderId="0" xfId="1" applyNumberFormat="1" applyFont="1" applyFill="1" applyBorder="1"/>
    <xf numFmtId="10" fontId="0" fillId="16" borderId="0" xfId="1" applyNumberFormat="1" applyFont="1" applyFill="1" applyBorder="1" applyAlignment="1">
      <alignment horizontal="center"/>
    </xf>
    <xf numFmtId="0" fontId="9" fillId="16" borderId="0" xfId="0" applyFont="1" applyFill="1" applyAlignment="1">
      <alignment horizontal="left" vertical="top" wrapText="1"/>
    </xf>
    <xf numFmtId="0" fontId="2" fillId="16" borderId="0" xfId="0" applyFont="1" applyFill="1" applyAlignment="1">
      <alignment horizontal="left" vertical="center"/>
    </xf>
    <xf numFmtId="0" fontId="1" fillId="16" borderId="0" xfId="0" applyFont="1" applyFill="1" applyAlignment="1">
      <alignment horizontal="left" indent="1"/>
    </xf>
    <xf numFmtId="0" fontId="0" fillId="16" borderId="11" xfId="0" applyFill="1" applyBorder="1" applyAlignment="1">
      <alignment horizontal="left" indent="2"/>
    </xf>
    <xf numFmtId="0" fontId="2" fillId="16" borderId="11" xfId="0" applyFont="1" applyFill="1" applyBorder="1"/>
    <xf numFmtId="0" fontId="1" fillId="20" borderId="0" xfId="0" applyFont="1" applyFill="1" applyAlignment="1">
      <alignment horizontal="left" indent="1"/>
    </xf>
    <xf numFmtId="0" fontId="1" fillId="20" borderId="0" xfId="0" applyFont="1" applyFill="1"/>
    <xf numFmtId="165" fontId="9" fillId="16" borderId="0" xfId="0" applyNumberFormat="1" applyFont="1" applyFill="1" applyAlignment="1">
      <alignment horizontal="left" wrapText="1"/>
    </xf>
    <xf numFmtId="10" fontId="3" fillId="16" borderId="0" xfId="1" applyNumberFormat="1" applyFont="1" applyFill="1" applyAlignment="1">
      <alignment horizontal="center"/>
    </xf>
    <xf numFmtId="9" fontId="3" fillId="16" borderId="0" xfId="1" applyFont="1" applyFill="1" applyBorder="1" applyAlignment="1">
      <alignment horizontal="right"/>
    </xf>
    <xf numFmtId="164" fontId="3" fillId="16" borderId="0" xfId="0" applyNumberFormat="1" applyFont="1" applyFill="1"/>
    <xf numFmtId="0" fontId="10" fillId="16" borderId="0" xfId="0" applyFont="1" applyFill="1" applyAlignment="1">
      <alignment vertical="top"/>
    </xf>
    <xf numFmtId="0" fontId="35" fillId="16" borderId="0" xfId="0" applyFont="1" applyFill="1"/>
    <xf numFmtId="0" fontId="3" fillId="16" borderId="0" xfId="0" applyFont="1" applyFill="1" applyAlignment="1">
      <alignment horizontal="left" wrapText="1"/>
    </xf>
    <xf numFmtId="10" fontId="3" fillId="16" borderId="0" xfId="1" applyNumberFormat="1" applyFont="1" applyFill="1" applyBorder="1"/>
    <xf numFmtId="2" fontId="9" fillId="3" borderId="19" xfId="0" applyNumberFormat="1" applyFont="1" applyFill="1" applyBorder="1" applyAlignment="1">
      <alignment horizontal="right"/>
    </xf>
    <xf numFmtId="3" fontId="3" fillId="16" borderId="0" xfId="1" applyNumberFormat="1" applyFont="1" applyFill="1" applyBorder="1" applyAlignment="1">
      <alignment horizontal="right"/>
    </xf>
    <xf numFmtId="165" fontId="9" fillId="16" borderId="0" xfId="0" applyNumberFormat="1" applyFont="1" applyFill="1" applyAlignment="1">
      <alignment horizontal="right"/>
    </xf>
    <xf numFmtId="2" fontId="9" fillId="16" borderId="0" xfId="0" applyNumberFormat="1" applyFont="1" applyFill="1"/>
    <xf numFmtId="3" fontId="8" fillId="16" borderId="0" xfId="1" applyNumberFormat="1" applyFont="1" applyFill="1" applyBorder="1" applyAlignment="1">
      <alignment horizontal="right"/>
    </xf>
    <xf numFmtId="9" fontId="8" fillId="16" borderId="0" xfId="1" applyFont="1" applyFill="1" applyBorder="1"/>
    <xf numFmtId="10" fontId="8" fillId="16" borderId="0" xfId="1" applyNumberFormat="1" applyFont="1" applyFill="1" applyBorder="1"/>
    <xf numFmtId="9" fontId="8" fillId="16" borderId="0" xfId="1" applyFont="1" applyFill="1" applyBorder="1" applyAlignment="1">
      <alignment horizontal="right"/>
    </xf>
    <xf numFmtId="3" fontId="10" fillId="16" borderId="4" xfId="0" applyNumberFormat="1" applyFont="1" applyFill="1" applyBorder="1" applyAlignment="1">
      <alignment horizontal="right"/>
    </xf>
    <xf numFmtId="166" fontId="9" fillId="16" borderId="0" xfId="0" applyNumberFormat="1" applyFont="1" applyFill="1" applyAlignment="1">
      <alignment horizontal="right"/>
    </xf>
    <xf numFmtId="0" fontId="37" fillId="16" borderId="0" xfId="0" applyFont="1" applyFill="1"/>
    <xf numFmtId="3" fontId="8" fillId="16" borderId="0" xfId="0" applyNumberFormat="1" applyFont="1" applyFill="1"/>
    <xf numFmtId="4" fontId="8" fillId="16" borderId="0" xfId="0" applyNumberFormat="1" applyFont="1" applyFill="1"/>
    <xf numFmtId="0" fontId="1" fillId="16" borderId="3" xfId="0" applyFont="1" applyFill="1" applyBorder="1" applyAlignment="1">
      <alignment vertical="center"/>
    </xf>
    <xf numFmtId="0" fontId="1" fillId="16" borderId="3" xfId="0" applyFont="1" applyFill="1" applyBorder="1" applyAlignment="1">
      <alignment horizontal="center" vertical="center" wrapText="1"/>
    </xf>
    <xf numFmtId="0" fontId="1" fillId="5" borderId="0" xfId="0" applyFont="1" applyFill="1"/>
    <xf numFmtId="165" fontId="0" fillId="16" borderId="0" xfId="0" applyNumberFormat="1" applyFill="1"/>
    <xf numFmtId="0" fontId="1" fillId="16" borderId="3" xfId="0" applyFont="1" applyFill="1" applyBorder="1" applyAlignment="1">
      <alignment horizontal="center" vertical="center"/>
    </xf>
    <xf numFmtId="0" fontId="0" fillId="16" borderId="11" xfId="0" applyFill="1" applyBorder="1"/>
    <xf numFmtId="166" fontId="0" fillId="16" borderId="0" xfId="0" applyNumberFormat="1" applyFill="1"/>
    <xf numFmtId="9" fontId="7" fillId="16" borderId="0" xfId="2" applyNumberFormat="1" applyFont="1" applyFill="1" applyAlignment="1">
      <alignment horizontal="right" indent="2"/>
    </xf>
    <xf numFmtId="9" fontId="7" fillId="16" borderId="11" xfId="2" applyNumberFormat="1" applyFont="1" applyFill="1" applyBorder="1" applyAlignment="1">
      <alignment horizontal="right" indent="2"/>
    </xf>
    <xf numFmtId="0" fontId="0" fillId="15" borderId="0" xfId="0" applyFill="1"/>
    <xf numFmtId="0" fontId="1" fillId="16" borderId="11" xfId="0" applyFont="1" applyFill="1" applyBorder="1"/>
    <xf numFmtId="166" fontId="1" fillId="16" borderId="11" xfId="0" applyNumberFormat="1" applyFont="1" applyFill="1" applyBorder="1"/>
    <xf numFmtId="0" fontId="0" fillId="16" borderId="4" xfId="0" applyFill="1" applyBorder="1"/>
    <xf numFmtId="166" fontId="0" fillId="16" borderId="4" xfId="0" applyNumberFormat="1" applyFill="1" applyBorder="1"/>
    <xf numFmtId="0" fontId="0" fillId="16" borderId="0" xfId="0" applyFill="1" applyAlignment="1">
      <alignment horizontal="left"/>
    </xf>
    <xf numFmtId="0" fontId="0" fillId="16" borderId="11" xfId="0" applyFill="1" applyBorder="1" applyAlignment="1">
      <alignment horizontal="left"/>
    </xf>
    <xf numFmtId="9" fontId="9" fillId="16" borderId="0" xfId="1" applyFont="1" applyFill="1" applyBorder="1"/>
    <xf numFmtId="3" fontId="9" fillId="16" borderId="0" xfId="1" applyNumberFormat="1" applyFont="1" applyFill="1" applyBorder="1" applyAlignment="1">
      <alignment horizontal="right"/>
    </xf>
    <xf numFmtId="0" fontId="38" fillId="16" borderId="0" xfId="0" applyFont="1" applyFill="1"/>
    <xf numFmtId="0" fontId="38" fillId="16" borderId="0" xfId="0" applyFont="1" applyFill="1" applyAlignment="1">
      <alignment horizontal="left"/>
    </xf>
    <xf numFmtId="0" fontId="38" fillId="16" borderId="0" xfId="0" applyFont="1" applyFill="1" applyAlignment="1">
      <alignment horizontal="left" indent="1"/>
    </xf>
    <xf numFmtId="0" fontId="2" fillId="16" borderId="3" xfId="0" applyFont="1" applyFill="1" applyBorder="1" applyAlignment="1">
      <alignment horizontal="center" vertical="center" wrapText="1"/>
    </xf>
    <xf numFmtId="0" fontId="2" fillId="16" borderId="3" xfId="0" applyFont="1" applyFill="1" applyBorder="1" applyAlignment="1">
      <alignment vertical="center"/>
    </xf>
    <xf numFmtId="0" fontId="3" fillId="5" borderId="0" xfId="0" applyFont="1" applyFill="1" applyAlignment="1">
      <alignment horizontal="right" indent="2"/>
    </xf>
    <xf numFmtId="9" fontId="3" fillId="16" borderId="0" xfId="1" applyFont="1" applyFill="1" applyAlignment="1">
      <alignment horizontal="right" indent="2"/>
    </xf>
    <xf numFmtId="9" fontId="3" fillId="10" borderId="0" xfId="1" applyFont="1" applyFill="1" applyAlignment="1">
      <alignment horizontal="right" indent="2"/>
    </xf>
    <xf numFmtId="0" fontId="3" fillId="16" borderId="0" xfId="0" applyFont="1" applyFill="1" applyAlignment="1">
      <alignment horizontal="right" indent="2"/>
    </xf>
    <xf numFmtId="2" fontId="3" fillId="10" borderId="0" xfId="0" applyNumberFormat="1" applyFont="1" applyFill="1" applyAlignment="1">
      <alignment horizontal="right" indent="2"/>
    </xf>
    <xf numFmtId="2" fontId="3" fillId="16" borderId="11" xfId="0" applyNumberFormat="1" applyFont="1" applyFill="1" applyBorder="1" applyAlignment="1">
      <alignment horizontal="right" indent="2"/>
    </xf>
    <xf numFmtId="2" fontId="3" fillId="3" borderId="19" xfId="0" applyNumberFormat="1" applyFont="1" applyFill="1" applyBorder="1" applyAlignment="1">
      <alignment horizontal="right"/>
    </xf>
    <xf numFmtId="0" fontId="3" fillId="20" borderId="0" xfId="0" applyFont="1" applyFill="1" applyAlignment="1">
      <alignment horizontal="left" wrapText="1"/>
    </xf>
    <xf numFmtId="0" fontId="3" fillId="10" borderId="0" xfId="0" applyFont="1" applyFill="1" applyAlignment="1">
      <alignment vertical="center"/>
    </xf>
    <xf numFmtId="0" fontId="3" fillId="20" borderId="0" xfId="0" applyFont="1" applyFill="1" applyAlignment="1">
      <alignment vertical="center"/>
    </xf>
    <xf numFmtId="0" fontId="3" fillId="20" borderId="0" xfId="0" applyFont="1" applyFill="1" applyAlignment="1">
      <alignment horizontal="left" vertical="center"/>
    </xf>
    <xf numFmtId="0" fontId="3" fillId="5" borderId="0" xfId="0" applyFont="1" applyFill="1" applyAlignment="1">
      <alignment vertical="center"/>
    </xf>
    <xf numFmtId="0" fontId="3" fillId="10" borderId="0" xfId="0" applyFont="1" applyFill="1" applyAlignment="1">
      <alignment horizontal="left" vertical="center"/>
    </xf>
    <xf numFmtId="0" fontId="3" fillId="16" borderId="11" xfId="0" applyFont="1" applyFill="1" applyBorder="1" applyAlignment="1">
      <alignment horizontal="left" vertical="center"/>
    </xf>
    <xf numFmtId="3" fontId="3" fillId="16" borderId="0" xfId="0" applyNumberFormat="1" applyFont="1" applyFill="1" applyAlignment="1">
      <alignment horizontal="right" vertical="center" indent="1"/>
    </xf>
    <xf numFmtId="3" fontId="3" fillId="10" borderId="0" xfId="0" applyNumberFormat="1" applyFont="1" applyFill="1" applyAlignment="1">
      <alignment horizontal="right" vertical="center" indent="1"/>
    </xf>
    <xf numFmtId="3" fontId="3" fillId="20" borderId="0" xfId="0" applyNumberFormat="1" applyFont="1" applyFill="1" applyAlignment="1">
      <alignment horizontal="right" vertical="center" indent="1"/>
    </xf>
    <xf numFmtId="4" fontId="3" fillId="20" borderId="0" xfId="0" applyNumberFormat="1" applyFont="1" applyFill="1" applyAlignment="1">
      <alignment horizontal="right" vertical="center" indent="1"/>
    </xf>
    <xf numFmtId="0" fontId="3" fillId="5" borderId="0" xfId="0" applyFont="1" applyFill="1" applyAlignment="1">
      <alignment horizontal="right" vertical="center" indent="1"/>
    </xf>
    <xf numFmtId="9" fontId="3" fillId="16" borderId="0" xfId="1" applyFont="1" applyFill="1" applyAlignment="1">
      <alignment horizontal="right" vertical="center" indent="1"/>
    </xf>
    <xf numFmtId="9" fontId="3" fillId="10" borderId="0" xfId="1" applyFont="1" applyFill="1" applyAlignment="1">
      <alignment horizontal="right" vertical="center" indent="1"/>
    </xf>
    <xf numFmtId="2" fontId="3" fillId="10" borderId="0" xfId="0" applyNumberFormat="1" applyFont="1" applyFill="1" applyAlignment="1">
      <alignment horizontal="right" vertical="center" indent="1"/>
    </xf>
    <xf numFmtId="164" fontId="3" fillId="16" borderId="11" xfId="0" applyNumberFormat="1" applyFont="1" applyFill="1" applyBorder="1" applyAlignment="1">
      <alignment horizontal="right" vertical="center" indent="1"/>
    </xf>
    <xf numFmtId="3" fontId="3" fillId="16" borderId="0" xfId="0" applyNumberFormat="1" applyFont="1" applyFill="1" applyAlignment="1">
      <alignment horizontal="right" vertical="center" indent="2"/>
    </xf>
    <xf numFmtId="3" fontId="3" fillId="10" borderId="0" xfId="0" applyNumberFormat="1" applyFont="1" applyFill="1" applyAlignment="1">
      <alignment horizontal="right" vertical="center" indent="2"/>
    </xf>
    <xf numFmtId="3" fontId="3" fillId="20" borderId="0" xfId="0" applyNumberFormat="1" applyFont="1" applyFill="1" applyAlignment="1">
      <alignment horizontal="right" vertical="center" indent="2"/>
    </xf>
    <xf numFmtId="4" fontId="3" fillId="20" borderId="0" xfId="0" applyNumberFormat="1" applyFont="1" applyFill="1" applyAlignment="1">
      <alignment horizontal="right" vertical="center" indent="2"/>
    </xf>
    <xf numFmtId="165" fontId="0" fillId="15" borderId="0" xfId="0" applyNumberFormat="1" applyFill="1" applyAlignment="1">
      <alignment horizontal="right" indent="2"/>
    </xf>
    <xf numFmtId="165" fontId="0" fillId="16" borderId="0" xfId="0" applyNumberFormat="1" applyFill="1" applyAlignment="1">
      <alignment horizontal="right" indent="2"/>
    </xf>
    <xf numFmtId="165" fontId="0" fillId="16" borderId="11" xfId="0" applyNumberFormat="1" applyFill="1" applyBorder="1" applyAlignment="1">
      <alignment horizontal="right" indent="2"/>
    </xf>
    <xf numFmtId="166" fontId="0" fillId="15" borderId="0" xfId="0" applyNumberFormat="1" applyFill="1" applyAlignment="1">
      <alignment horizontal="right" indent="2"/>
    </xf>
    <xf numFmtId="166" fontId="0" fillId="16" borderId="0" xfId="0" applyNumberFormat="1" applyFill="1" applyAlignment="1">
      <alignment horizontal="right" indent="2"/>
    </xf>
    <xf numFmtId="166" fontId="0" fillId="16" borderId="11" xfId="0" applyNumberFormat="1" applyFill="1" applyBorder="1" applyAlignment="1">
      <alignment horizontal="right" indent="2"/>
    </xf>
    <xf numFmtId="166" fontId="0" fillId="16" borderId="4" xfId="0" applyNumberFormat="1" applyFill="1" applyBorder="1" applyAlignment="1">
      <alignment horizontal="right" indent="2"/>
    </xf>
    <xf numFmtId="166" fontId="1" fillId="16" borderId="11" xfId="0" applyNumberFormat="1" applyFont="1" applyFill="1" applyBorder="1" applyAlignment="1">
      <alignment horizontal="right" indent="2"/>
    </xf>
    <xf numFmtId="166" fontId="0" fillId="16" borderId="0" xfId="0" applyNumberFormat="1" applyFill="1" applyAlignment="1">
      <alignment horizontal="right" indent="3"/>
    </xf>
    <xf numFmtId="0" fontId="1" fillId="5" borderId="0" xfId="0" applyFont="1" applyFill="1" applyAlignment="1">
      <alignment horizontal="right" indent="3"/>
    </xf>
    <xf numFmtId="166" fontId="0" fillId="16" borderId="11" xfId="0" applyNumberFormat="1" applyFill="1" applyBorder="1" applyAlignment="1">
      <alignment horizontal="right" indent="3"/>
    </xf>
    <xf numFmtId="9" fontId="0" fillId="16" borderId="0" xfId="0" applyNumberFormat="1" applyFill="1" applyAlignment="1">
      <alignment horizontal="right" indent="3"/>
    </xf>
    <xf numFmtId="0" fontId="3" fillId="16" borderId="11" xfId="0" applyFont="1" applyFill="1" applyBorder="1" applyAlignment="1">
      <alignment vertical="center"/>
    </xf>
    <xf numFmtId="0" fontId="0" fillId="16" borderId="11" xfId="0" applyFill="1" applyBorder="1" applyAlignment="1">
      <alignment vertical="center"/>
    </xf>
    <xf numFmtId="9" fontId="0" fillId="16" borderId="11" xfId="0" applyNumberFormat="1" applyFill="1" applyBorder="1" applyAlignment="1">
      <alignment horizontal="right" vertical="center" indent="3"/>
    </xf>
    <xf numFmtId="0" fontId="0" fillId="16" borderId="0" xfId="0" applyFill="1" applyAlignment="1">
      <alignment horizontal="right" indent="3"/>
    </xf>
    <xf numFmtId="9" fontId="0" fillId="16" borderId="0" xfId="1" applyFont="1" applyFill="1" applyAlignment="1">
      <alignment horizontal="right" indent="3"/>
    </xf>
    <xf numFmtId="10" fontId="0" fillId="16" borderId="11" xfId="1" applyNumberFormat="1" applyFont="1" applyFill="1" applyBorder="1" applyAlignment="1">
      <alignment horizontal="right" indent="3"/>
    </xf>
    <xf numFmtId="0" fontId="3" fillId="15" borderId="0" xfId="0" applyFont="1" applyFill="1"/>
    <xf numFmtId="170" fontId="0" fillId="15" borderId="0" xfId="1" applyNumberFormat="1" applyFont="1" applyFill="1" applyAlignment="1">
      <alignment horizontal="right" indent="3"/>
    </xf>
    <xf numFmtId="166" fontId="0" fillId="15" borderId="0" xfId="0" applyNumberFormat="1" applyFill="1" applyAlignment="1">
      <alignment horizontal="right" indent="3"/>
    </xf>
    <xf numFmtId="9" fontId="0" fillId="15" borderId="0" xfId="1" applyFont="1" applyFill="1" applyAlignment="1">
      <alignment horizontal="right" indent="3"/>
    </xf>
    <xf numFmtId="0" fontId="3" fillId="15" borderId="0" xfId="0" applyFont="1" applyFill="1" applyAlignment="1">
      <alignment horizontal="left" indent="1"/>
    </xf>
    <xf numFmtId="0" fontId="2" fillId="16" borderId="4" xfId="0" applyFont="1" applyFill="1" applyBorder="1" applyAlignment="1">
      <alignment horizontal="center" vertical="center"/>
    </xf>
    <xf numFmtId="164" fontId="3" fillId="16" borderId="0" xfId="0" applyNumberFormat="1" applyFont="1" applyFill="1" applyAlignment="1">
      <alignment horizontal="right" indent="2"/>
    </xf>
    <xf numFmtId="2" fontId="3" fillId="16" borderId="0" xfId="0" applyNumberFormat="1" applyFont="1" applyFill="1" applyAlignment="1">
      <alignment horizontal="right" indent="1"/>
    </xf>
    <xf numFmtId="0" fontId="3" fillId="16" borderId="11" xfId="0" applyFont="1" applyFill="1" applyBorder="1" applyAlignment="1">
      <alignment horizontal="right" indent="2"/>
    </xf>
    <xf numFmtId="164" fontId="3" fillId="16" borderId="11" xfId="0" applyNumberFormat="1" applyFont="1" applyFill="1" applyBorder="1" applyAlignment="1">
      <alignment horizontal="right" indent="2"/>
    </xf>
    <xf numFmtId="0" fontId="3" fillId="15" borderId="0" xfId="0" applyFont="1" applyFill="1" applyAlignment="1">
      <alignment horizontal="right" indent="2"/>
    </xf>
    <xf numFmtId="164" fontId="3" fillId="15" borderId="0" xfId="0" applyNumberFormat="1" applyFont="1" applyFill="1" applyAlignment="1">
      <alignment horizontal="right" indent="2"/>
    </xf>
    <xf numFmtId="164" fontId="3" fillId="15" borderId="0" xfId="0" applyNumberFormat="1" applyFont="1" applyFill="1" applyAlignment="1">
      <alignment horizontal="right"/>
    </xf>
    <xf numFmtId="164" fontId="3" fillId="16" borderId="11" xfId="0" applyNumberFormat="1" applyFont="1" applyFill="1" applyBorder="1" applyAlignment="1">
      <alignment horizontal="right"/>
    </xf>
    <xf numFmtId="9" fontId="3" fillId="16" borderId="0" xfId="1" applyFont="1" applyFill="1" applyAlignment="1">
      <alignment horizontal="right" indent="1"/>
    </xf>
    <xf numFmtId="9" fontId="3" fillId="10" borderId="0" xfId="1" applyFont="1" applyFill="1" applyAlignment="1">
      <alignment horizontal="right" indent="1"/>
    </xf>
    <xf numFmtId="0" fontId="3" fillId="5" borderId="0" xfId="0" applyFont="1" applyFill="1" applyAlignment="1">
      <alignment horizontal="right" indent="1"/>
    </xf>
    <xf numFmtId="2" fontId="3" fillId="10" borderId="0" xfId="0" applyNumberFormat="1" applyFont="1" applyFill="1" applyAlignment="1">
      <alignment horizontal="right" indent="1"/>
    </xf>
    <xf numFmtId="2" fontId="3" fillId="16" borderId="11" xfId="0" applyNumberFormat="1" applyFont="1" applyFill="1" applyBorder="1" applyAlignment="1">
      <alignment horizontal="right" indent="1"/>
    </xf>
    <xf numFmtId="0" fontId="36" fillId="16" borderId="0" xfId="0" applyFont="1" applyFill="1"/>
    <xf numFmtId="0" fontId="28" fillId="16" borderId="0" xfId="0" applyFont="1" applyFill="1"/>
    <xf numFmtId="3" fontId="8" fillId="16" borderId="0" xfId="0" applyNumberFormat="1" applyFont="1" applyFill="1" applyAlignment="1">
      <alignment horizontal="right"/>
    </xf>
    <xf numFmtId="165" fontId="8" fillId="16" borderId="0" xfId="0" applyNumberFormat="1" applyFont="1" applyFill="1" applyAlignment="1">
      <alignment horizontal="right"/>
    </xf>
    <xf numFmtId="0" fontId="28" fillId="16" borderId="0" xfId="0" applyFont="1" applyFill="1" applyAlignment="1">
      <alignment vertical="top"/>
    </xf>
    <xf numFmtId="165" fontId="8" fillId="16" borderId="0" xfId="0" applyNumberFormat="1" applyFont="1" applyFill="1" applyAlignment="1">
      <alignment horizontal="left" wrapText="1"/>
    </xf>
    <xf numFmtId="165" fontId="8" fillId="16" borderId="0" xfId="1" applyNumberFormat="1" applyFont="1" applyFill="1" applyBorder="1" applyAlignment="1">
      <alignment horizontal="right"/>
    </xf>
    <xf numFmtId="9" fontId="9" fillId="4" borderId="19" xfId="1" applyFont="1" applyFill="1" applyBorder="1"/>
    <xf numFmtId="3" fontId="3" fillId="16" borderId="4" xfId="1" applyNumberFormat="1" applyFont="1" applyFill="1" applyBorder="1" applyAlignment="1">
      <alignment horizontal="right"/>
    </xf>
    <xf numFmtId="1" fontId="9" fillId="16" borderId="2" xfId="1" applyNumberFormat="1" applyFont="1" applyFill="1" applyBorder="1" applyAlignment="1">
      <alignment horizontal="right"/>
    </xf>
    <xf numFmtId="9" fontId="12" fillId="16" borderId="0" xfId="1" applyFont="1" applyFill="1"/>
    <xf numFmtId="3" fontId="12" fillId="16" borderId="1" xfId="0" applyNumberFormat="1" applyFont="1" applyFill="1" applyBorder="1" applyAlignment="1">
      <alignment horizontal="right"/>
    </xf>
    <xf numFmtId="3" fontId="2" fillId="16" borderId="1" xfId="0" applyNumberFormat="1" applyFont="1" applyFill="1" applyBorder="1" applyAlignment="1">
      <alignment horizontal="right"/>
    </xf>
    <xf numFmtId="3" fontId="12" fillId="16" borderId="21" xfId="0" applyNumberFormat="1" applyFont="1" applyFill="1" applyBorder="1" applyAlignment="1">
      <alignment horizontal="right"/>
    </xf>
    <xf numFmtId="3" fontId="12" fillId="16" borderId="0" xfId="0" applyNumberFormat="1" applyFont="1" applyFill="1" applyAlignment="1">
      <alignment horizontal="right"/>
    </xf>
    <xf numFmtId="1" fontId="9" fillId="16" borderId="0" xfId="1" applyNumberFormat="1" applyFont="1" applyFill="1" applyBorder="1"/>
    <xf numFmtId="9" fontId="3" fillId="16" borderId="7" xfId="0" applyNumberFormat="1" applyFont="1" applyFill="1" applyBorder="1" applyAlignment="1">
      <alignment horizontal="right"/>
    </xf>
    <xf numFmtId="3" fontId="3" fillId="3" borderId="19" xfId="0" applyNumberFormat="1" applyFont="1" applyFill="1" applyBorder="1" applyAlignment="1">
      <alignment horizontal="right"/>
    </xf>
    <xf numFmtId="3" fontId="9" fillId="3" borderId="19" xfId="0" applyNumberFormat="1" applyFont="1" applyFill="1" applyBorder="1" applyAlignment="1">
      <alignment horizontal="right"/>
    </xf>
    <xf numFmtId="9" fontId="26" fillId="16" borderId="0" xfId="1" applyFont="1" applyFill="1"/>
    <xf numFmtId="170" fontId="26" fillId="16" borderId="0" xfId="1" applyNumberFormat="1" applyFont="1" applyFill="1"/>
    <xf numFmtId="9" fontId="26" fillId="16" borderId="0" xfId="1" applyFont="1" applyFill="1" applyAlignment="1">
      <alignment horizontal="right"/>
    </xf>
    <xf numFmtId="170" fontId="26" fillId="16" borderId="0" xfId="1" applyNumberFormat="1" applyFont="1" applyFill="1" applyAlignment="1">
      <alignment horizontal="right"/>
    </xf>
    <xf numFmtId="6" fontId="10" fillId="16" borderId="0" xfId="0" applyNumberFormat="1" applyFont="1" applyFill="1" applyAlignment="1">
      <alignment horizontal="right"/>
    </xf>
    <xf numFmtId="9" fontId="9" fillId="16" borderId="0" xfId="0" applyNumberFormat="1" applyFont="1" applyFill="1"/>
    <xf numFmtId="170" fontId="9" fillId="16" borderId="0" xfId="1" applyNumberFormat="1" applyFont="1" applyFill="1"/>
    <xf numFmtId="2" fontId="3" fillId="16" borderId="0" xfId="1" applyNumberFormat="1" applyFont="1" applyFill="1"/>
    <xf numFmtId="0" fontId="9" fillId="16" borderId="0" xfId="0" applyFont="1" applyFill="1" applyAlignment="1">
      <alignment vertical="top"/>
    </xf>
    <xf numFmtId="0" fontId="10" fillId="16" borderId="4" xfId="0" applyFont="1" applyFill="1" applyBorder="1" applyAlignment="1">
      <alignment horizontal="left" indent="1"/>
    </xf>
    <xf numFmtId="0" fontId="10" fillId="16" borderId="4" xfId="0" applyFont="1" applyFill="1" applyBorder="1"/>
    <xf numFmtId="6" fontId="10" fillId="16" borderId="4" xfId="0" applyNumberFormat="1" applyFont="1" applyFill="1" applyBorder="1"/>
    <xf numFmtId="6" fontId="10" fillId="16" borderId="4" xfId="0" applyNumberFormat="1" applyFont="1" applyFill="1" applyBorder="1" applyAlignment="1">
      <alignment horizontal="right"/>
    </xf>
    <xf numFmtId="0" fontId="39" fillId="16" borderId="0" xfId="7" applyFill="1"/>
    <xf numFmtId="6" fontId="2" fillId="16" borderId="11" xfId="0" applyNumberFormat="1" applyFont="1" applyFill="1" applyBorder="1"/>
    <xf numFmtId="6" fontId="10" fillId="16" borderId="11" xfId="0" applyNumberFormat="1" applyFont="1" applyFill="1" applyBorder="1" applyAlignment="1">
      <alignment horizontal="right"/>
    </xf>
    <xf numFmtId="0" fontId="3" fillId="16" borderId="4" xfId="0" applyFont="1" applyFill="1" applyBorder="1"/>
    <xf numFmtId="5" fontId="0" fillId="16" borderId="0" xfId="6" applyNumberFormat="1" applyFont="1" applyFill="1" applyAlignment="1">
      <alignment horizontal="right"/>
    </xf>
    <xf numFmtId="9" fontId="7" fillId="16" borderId="0" xfId="0" applyNumberFormat="1" applyFont="1" applyFill="1" applyAlignment="1">
      <alignment horizontal="right"/>
    </xf>
    <xf numFmtId="9" fontId="0" fillId="16" borderId="0" xfId="0" applyNumberFormat="1" applyFill="1" applyAlignment="1">
      <alignment horizontal="right"/>
    </xf>
    <xf numFmtId="0" fontId="1" fillId="20" borderId="0" xfId="0" applyFont="1" applyFill="1" applyAlignment="1">
      <alignment horizontal="right"/>
    </xf>
    <xf numFmtId="9" fontId="0" fillId="16" borderId="11" xfId="0" applyNumberFormat="1" applyFill="1" applyBorder="1" applyAlignment="1">
      <alignment horizontal="right"/>
    </xf>
    <xf numFmtId="6" fontId="3" fillId="16" borderId="0" xfId="0" applyNumberFormat="1" applyFont="1" applyFill="1" applyAlignment="1">
      <alignment horizontal="right" vertical="center"/>
    </xf>
    <xf numFmtId="6" fontId="0" fillId="16" borderId="4" xfId="0" applyNumberFormat="1" applyFill="1" applyBorder="1"/>
    <xf numFmtId="173" fontId="1" fillId="16" borderId="11" xfId="1" applyNumberFormat="1" applyFont="1" applyFill="1" applyBorder="1"/>
    <xf numFmtId="10" fontId="1" fillId="16" borderId="0" xfId="0" applyNumberFormat="1" applyFont="1" applyFill="1"/>
    <xf numFmtId="0" fontId="25" fillId="16" borderId="3" xfId="0" applyFont="1" applyFill="1" applyBorder="1" applyAlignment="1">
      <alignment horizontal="center" vertical="center"/>
    </xf>
    <xf numFmtId="0" fontId="25" fillId="16" borderId="3" xfId="0" applyFont="1" applyFill="1" applyBorder="1" applyAlignment="1">
      <alignment horizontal="left" vertical="center"/>
    </xf>
    <xf numFmtId="6" fontId="3" fillId="16" borderId="4" xfId="0" applyNumberFormat="1" applyFont="1" applyFill="1" applyBorder="1"/>
    <xf numFmtId="6" fontId="3" fillId="16" borderId="11" xfId="0" applyNumberFormat="1" applyFont="1" applyFill="1" applyBorder="1"/>
    <xf numFmtId="10" fontId="10" fillId="16" borderId="0" xfId="0" applyNumberFormat="1" applyFont="1" applyFill="1"/>
    <xf numFmtId="10" fontId="2" fillId="16" borderId="3" xfId="0" applyNumberFormat="1" applyFont="1" applyFill="1" applyBorder="1"/>
    <xf numFmtId="10" fontId="10" fillId="16" borderId="3" xfId="1" applyNumberFormat="1" applyFont="1" applyFill="1" applyBorder="1"/>
    <xf numFmtId="10" fontId="10" fillId="16" borderId="3" xfId="0" applyNumberFormat="1" applyFont="1" applyFill="1" applyBorder="1"/>
    <xf numFmtId="0" fontId="10" fillId="16" borderId="3" xfId="0" applyFont="1" applyFill="1" applyBorder="1"/>
    <xf numFmtId="6" fontId="26" fillId="16" borderId="11" xfId="0" applyNumberFormat="1" applyFont="1" applyFill="1" applyBorder="1"/>
    <xf numFmtId="0" fontId="3" fillId="16" borderId="3" xfId="0" applyFont="1" applyFill="1" applyBorder="1"/>
    <xf numFmtId="0" fontId="10" fillId="16" borderId="11" xfId="0" applyFont="1" applyFill="1" applyBorder="1" applyAlignment="1">
      <alignment horizontal="left"/>
    </xf>
    <xf numFmtId="10" fontId="10" fillId="16" borderId="11" xfId="1" applyNumberFormat="1" applyFont="1" applyFill="1" applyBorder="1" applyAlignment="1"/>
    <xf numFmtId="0" fontId="10" fillId="16" borderId="0" xfId="0" applyFont="1" applyFill="1" applyAlignment="1">
      <alignment horizontal="left"/>
    </xf>
    <xf numFmtId="0" fontId="1" fillId="16" borderId="3" xfId="0" applyFont="1" applyFill="1" applyBorder="1"/>
    <xf numFmtId="173" fontId="1" fillId="16" borderId="0" xfId="1" applyNumberFormat="1" applyFont="1" applyFill="1" applyBorder="1"/>
    <xf numFmtId="174" fontId="1" fillId="16" borderId="11" xfId="1" applyNumberFormat="1" applyFont="1" applyFill="1" applyBorder="1"/>
    <xf numFmtId="174" fontId="5" fillId="16" borderId="0" xfId="1" applyNumberFormat="1" applyFont="1" applyFill="1" applyBorder="1"/>
    <xf numFmtId="174" fontId="5" fillId="16" borderId="4" xfId="1" applyNumberFormat="1" applyFont="1" applyFill="1" applyBorder="1"/>
    <xf numFmtId="166" fontId="1" fillId="16" borderId="0" xfId="0" applyNumberFormat="1" applyFont="1" applyFill="1"/>
    <xf numFmtId="0" fontId="0" fillId="16" borderId="0" xfId="0" applyFill="1" applyAlignment="1">
      <alignment horizontal="left" indent="1"/>
    </xf>
    <xf numFmtId="10" fontId="3" fillId="16" borderId="0" xfId="1" applyNumberFormat="1" applyFont="1" applyFill="1" applyAlignment="1">
      <alignment horizontal="right" vertical="center"/>
    </xf>
    <xf numFmtId="174" fontId="1" fillId="16" borderId="0" xfId="1" applyNumberFormat="1" applyFont="1" applyFill="1" applyBorder="1"/>
    <xf numFmtId="10" fontId="3" fillId="16" borderId="0" xfId="1" applyNumberFormat="1" applyFont="1" applyFill="1" applyBorder="1" applyAlignment="1">
      <alignment horizontal="right" vertical="center"/>
    </xf>
    <xf numFmtId="5" fontId="0" fillId="16" borderId="11" xfId="6" applyNumberFormat="1" applyFont="1" applyFill="1" applyBorder="1" applyAlignment="1">
      <alignment horizontal="right"/>
    </xf>
    <xf numFmtId="0" fontId="1" fillId="15" borderId="0" xfId="0" applyFont="1" applyFill="1"/>
    <xf numFmtId="6" fontId="1" fillId="16" borderId="0" xfId="0" applyNumberFormat="1" applyFont="1" applyFill="1"/>
    <xf numFmtId="175" fontId="0" fillId="16" borderId="0" xfId="1" applyNumberFormat="1" applyFont="1" applyFill="1" applyAlignment="1"/>
    <xf numFmtId="6" fontId="2" fillId="16" borderId="0" xfId="0" applyNumberFormat="1" applyFont="1" applyFill="1"/>
    <xf numFmtId="0" fontId="3" fillId="16" borderId="0" xfId="0" applyFont="1" applyFill="1" applyAlignment="1">
      <alignment horizontal="left" indent="3"/>
    </xf>
    <xf numFmtId="3" fontId="0" fillId="16" borderId="0" xfId="0" applyNumberFormat="1" applyFill="1"/>
    <xf numFmtId="164" fontId="3" fillId="3" borderId="19" xfId="0" applyNumberFormat="1" applyFont="1" applyFill="1" applyBorder="1"/>
    <xf numFmtId="1" fontId="9" fillId="16" borderId="0" xfId="1" applyNumberFormat="1" applyFont="1" applyFill="1" applyBorder="1" applyAlignment="1">
      <alignment horizontal="right"/>
    </xf>
    <xf numFmtId="0" fontId="1" fillId="5" borderId="0" xfId="0" applyFont="1" applyFill="1" applyAlignment="1">
      <alignment horizontal="right" indent="2"/>
    </xf>
    <xf numFmtId="0" fontId="2" fillId="16" borderId="0" xfId="0" applyFont="1" applyFill="1" applyAlignment="1">
      <alignment vertical="top"/>
    </xf>
    <xf numFmtId="0" fontId="1" fillId="16" borderId="4" xfId="0" applyFont="1" applyFill="1" applyBorder="1" applyAlignment="1">
      <alignment horizontal="center" vertical="center"/>
    </xf>
    <xf numFmtId="9" fontId="0" fillId="16" borderId="11" xfId="0" applyNumberFormat="1" applyFill="1" applyBorder="1"/>
    <xf numFmtId="0" fontId="3" fillId="5" borderId="2" xfId="0" applyFont="1" applyFill="1" applyBorder="1" applyAlignment="1">
      <alignment horizontal="right"/>
    </xf>
    <xf numFmtId="8" fontId="9" fillId="16" borderId="0" xfId="0" applyNumberFormat="1" applyFont="1" applyFill="1"/>
    <xf numFmtId="0" fontId="15" fillId="16" borderId="0" xfId="0" applyFont="1" applyFill="1"/>
    <xf numFmtId="3" fontId="7" fillId="16" borderId="0" xfId="0" applyNumberFormat="1" applyFont="1" applyFill="1"/>
    <xf numFmtId="0" fontId="7" fillId="16" borderId="0" xfId="0" applyFont="1" applyFill="1"/>
    <xf numFmtId="0" fontId="9" fillId="3" borderId="19" xfId="0" applyFont="1" applyFill="1" applyBorder="1"/>
    <xf numFmtId="166" fontId="9" fillId="3" borderId="19" xfId="1" applyNumberFormat="1" applyFont="1" applyFill="1" applyBorder="1" applyAlignment="1">
      <alignment horizontal="right"/>
    </xf>
    <xf numFmtId="9" fontId="9" fillId="16" borderId="0" xfId="1" applyFont="1" applyFill="1" applyBorder="1" applyAlignment="1">
      <alignment horizontal="right"/>
    </xf>
    <xf numFmtId="0" fontId="40" fillId="16" borderId="0" xfId="0" applyFont="1" applyFill="1"/>
    <xf numFmtId="0" fontId="41" fillId="16" borderId="0" xfId="0" applyFont="1" applyFill="1"/>
    <xf numFmtId="0" fontId="3" fillId="16" borderId="4" xfId="0" applyFont="1" applyFill="1" applyBorder="1" applyAlignment="1">
      <alignment horizontal="right"/>
    </xf>
    <xf numFmtId="9" fontId="3" fillId="16" borderId="1" xfId="1" applyFont="1" applyFill="1" applyBorder="1"/>
    <xf numFmtId="0" fontId="3" fillId="3" borderId="19" xfId="0" applyFont="1" applyFill="1" applyBorder="1" applyAlignment="1">
      <alignment horizontal="right"/>
    </xf>
    <xf numFmtId="164" fontId="3" fillId="3" borderId="19" xfId="0" applyNumberFormat="1" applyFont="1" applyFill="1" applyBorder="1" applyAlignment="1">
      <alignment horizontal="right"/>
    </xf>
    <xf numFmtId="9" fontId="3" fillId="6" borderId="19" xfId="1" applyFont="1" applyFill="1" applyBorder="1"/>
    <xf numFmtId="3" fontId="9" fillId="16" borderId="7" xfId="0" applyNumberFormat="1" applyFont="1" applyFill="1" applyBorder="1" applyAlignment="1">
      <alignment horizontal="right"/>
    </xf>
    <xf numFmtId="3" fontId="9" fillId="16" borderId="9" xfId="0" applyNumberFormat="1" applyFont="1" applyFill="1" applyBorder="1" applyAlignment="1">
      <alignment horizontal="right"/>
    </xf>
    <xf numFmtId="3" fontId="9" fillId="16" borderId="4" xfId="0" applyNumberFormat="1" applyFont="1" applyFill="1" applyBorder="1" applyAlignment="1">
      <alignment horizontal="right"/>
    </xf>
    <xf numFmtId="0" fontId="3" fillId="16" borderId="0" xfId="0" applyFont="1" applyFill="1" applyAlignment="1">
      <alignment horizontal="center" vertical="center" wrapText="1"/>
    </xf>
    <xf numFmtId="0" fontId="9" fillId="16" borderId="0" xfId="0" applyFont="1" applyFill="1" applyAlignment="1">
      <alignment horizontal="center" vertical="center" wrapText="1"/>
    </xf>
    <xf numFmtId="0" fontId="0" fillId="16" borderId="0" xfId="0" applyFill="1" applyAlignment="1">
      <alignment horizontal="center" vertical="center" wrapText="1"/>
    </xf>
    <xf numFmtId="3" fontId="3" fillId="16" borderId="2" xfId="0" applyNumberFormat="1" applyFont="1" applyFill="1" applyBorder="1" applyAlignment="1">
      <alignment horizontal="right"/>
    </xf>
    <xf numFmtId="0" fontId="0" fillId="5" borderId="0" xfId="0" applyFill="1"/>
    <xf numFmtId="3" fontId="3" fillId="16" borderId="1" xfId="0" applyNumberFormat="1" applyFont="1" applyFill="1" applyBorder="1" applyAlignment="1">
      <alignment horizontal="right"/>
    </xf>
    <xf numFmtId="164" fontId="3" fillId="3" borderId="23" xfId="0" applyNumberFormat="1" applyFont="1" applyFill="1" applyBorder="1" applyAlignment="1">
      <alignment horizontal="right"/>
    </xf>
    <xf numFmtId="2" fontId="3" fillId="16" borderId="0" xfId="0" applyNumberFormat="1" applyFont="1" applyFill="1" applyAlignment="1">
      <alignment horizontal="right"/>
    </xf>
    <xf numFmtId="2" fontId="9" fillId="16" borderId="0" xfId="0" applyNumberFormat="1" applyFont="1" applyFill="1" applyAlignment="1">
      <alignment horizontal="right"/>
    </xf>
    <xf numFmtId="164" fontId="3" fillId="16" borderId="0" xfId="0" applyNumberFormat="1" applyFont="1" applyFill="1" applyAlignment="1">
      <alignment horizontal="right"/>
    </xf>
    <xf numFmtId="3" fontId="9" fillId="16" borderId="21" xfId="0" applyNumberFormat="1" applyFont="1" applyFill="1" applyBorder="1" applyAlignment="1">
      <alignment horizontal="right"/>
    </xf>
    <xf numFmtId="3" fontId="9" fillId="16" borderId="24" xfId="0" applyNumberFormat="1" applyFont="1" applyFill="1" applyBorder="1" applyAlignment="1">
      <alignment horizontal="right"/>
    </xf>
    <xf numFmtId="0" fontId="9" fillId="16" borderId="20" xfId="0" applyFont="1" applyFill="1" applyBorder="1" applyAlignment="1">
      <alignment horizontal="right"/>
    </xf>
    <xf numFmtId="0" fontId="3" fillId="3" borderId="19" xfId="0" applyFont="1" applyFill="1" applyBorder="1" applyAlignment="1">
      <alignment horizontal="center" vertical="center"/>
    </xf>
    <xf numFmtId="9" fontId="3" fillId="3" borderId="19" xfId="0" applyNumberFormat="1" applyFont="1" applyFill="1" applyBorder="1" applyAlignment="1">
      <alignment horizontal="right"/>
    </xf>
    <xf numFmtId="4" fontId="3" fillId="16" borderId="4" xfId="0" applyNumberFormat="1" applyFont="1" applyFill="1" applyBorder="1" applyAlignment="1">
      <alignment horizontal="right"/>
    </xf>
    <xf numFmtId="4" fontId="3" fillId="16" borderId="0" xfId="0" applyNumberFormat="1" applyFont="1" applyFill="1" applyAlignment="1">
      <alignment horizontal="right"/>
    </xf>
    <xf numFmtId="9" fontId="0" fillId="16" borderId="0" xfId="1" applyFont="1" applyFill="1" applyBorder="1"/>
    <xf numFmtId="0" fontId="3" fillId="16" borderId="2" xfId="0" applyFont="1" applyFill="1" applyBorder="1" applyAlignment="1">
      <alignment horizontal="right"/>
    </xf>
    <xf numFmtId="0" fontId="0" fillId="16" borderId="0" xfId="0" applyFill="1" applyAlignment="1">
      <alignment vertical="center"/>
    </xf>
    <xf numFmtId="165" fontId="0" fillId="3" borderId="19" xfId="0" applyNumberFormat="1" applyFill="1" applyBorder="1"/>
    <xf numFmtId="165" fontId="0" fillId="3" borderId="19" xfId="0" applyNumberFormat="1" applyFill="1" applyBorder="1" applyAlignment="1">
      <alignment horizontal="right"/>
    </xf>
    <xf numFmtId="165" fontId="0" fillId="16" borderId="9" xfId="0" applyNumberFormat="1" applyFill="1" applyBorder="1" applyAlignment="1">
      <alignment horizontal="right"/>
    </xf>
    <xf numFmtId="165" fontId="0" fillId="16" borderId="4" xfId="0" applyNumberFormat="1" applyFill="1" applyBorder="1" applyAlignment="1">
      <alignment horizontal="right"/>
    </xf>
    <xf numFmtId="165" fontId="0" fillId="16" borderId="1" xfId="0" applyNumberFormat="1" applyFill="1" applyBorder="1" applyAlignment="1">
      <alignment horizontal="right"/>
    </xf>
    <xf numFmtId="166" fontId="0" fillId="3" borderId="19" xfId="0" applyNumberFormat="1" applyFill="1" applyBorder="1"/>
    <xf numFmtId="10" fontId="0" fillId="3" borderId="19" xfId="1" applyNumberFormat="1" applyFont="1" applyFill="1" applyBorder="1"/>
    <xf numFmtId="10" fontId="0" fillId="3" borderId="23" xfId="1" applyNumberFormat="1" applyFont="1" applyFill="1" applyBorder="1"/>
    <xf numFmtId="9" fontId="0" fillId="3" borderId="19" xfId="1" applyFont="1" applyFill="1" applyBorder="1" applyAlignment="1">
      <alignment horizontal="right"/>
    </xf>
    <xf numFmtId="9" fontId="0" fillId="3" borderId="15" xfId="1" applyFont="1" applyFill="1" applyBorder="1" applyAlignment="1">
      <alignment horizontal="right"/>
    </xf>
    <xf numFmtId="9" fontId="3" fillId="16" borderId="0" xfId="1" applyFont="1" applyFill="1" applyBorder="1" applyAlignment="1">
      <alignment horizontal="left"/>
    </xf>
    <xf numFmtId="0" fontId="3" fillId="16" borderId="25" xfId="0" applyFont="1" applyFill="1" applyBorder="1"/>
    <xf numFmtId="0" fontId="1" fillId="16" borderId="0" xfId="0" applyFont="1" applyFill="1" applyAlignment="1">
      <alignment horizontal="center" vertical="center"/>
    </xf>
    <xf numFmtId="9" fontId="9" fillId="16" borderId="0" xfId="1" applyFont="1" applyFill="1" applyAlignment="1">
      <alignment horizontal="center" vertical="center"/>
    </xf>
    <xf numFmtId="9" fontId="9" fillId="3" borderId="19" xfId="1" applyFont="1" applyFill="1" applyBorder="1" applyAlignment="1">
      <alignment horizontal="center" vertical="center"/>
    </xf>
    <xf numFmtId="4" fontId="3" fillId="3" borderId="19" xfId="0" applyNumberFormat="1" applyFont="1" applyFill="1" applyBorder="1"/>
    <xf numFmtId="1" fontId="0" fillId="16" borderId="0" xfId="0" applyNumberFormat="1" applyFill="1"/>
    <xf numFmtId="3" fontId="1" fillId="16" borderId="0" xfId="0" applyNumberFormat="1" applyFont="1" applyFill="1"/>
    <xf numFmtId="8" fontId="3" fillId="16" borderId="0" xfId="0" applyNumberFormat="1" applyFont="1" applyFill="1"/>
    <xf numFmtId="10" fontId="26" fillId="16" borderId="0" xfId="0" applyNumberFormat="1" applyFont="1" applyFill="1"/>
    <xf numFmtId="0" fontId="3" fillId="16" borderId="2" xfId="0" applyFont="1" applyFill="1" applyBorder="1" applyAlignment="1">
      <alignment vertical="center"/>
    </xf>
    <xf numFmtId="0" fontId="3" fillId="3" borderId="19" xfId="0" applyFont="1" applyFill="1" applyBorder="1" applyAlignment="1">
      <alignment vertical="center"/>
    </xf>
    <xf numFmtId="0" fontId="42" fillId="16" borderId="0" xfId="0" applyFont="1" applyFill="1"/>
    <xf numFmtId="0" fontId="3" fillId="6" borderId="19" xfId="0" applyFont="1" applyFill="1" applyBorder="1" applyAlignment="1">
      <alignment vertical="center"/>
    </xf>
    <xf numFmtId="0" fontId="8" fillId="16" borderId="0" xfId="0" applyFont="1" applyFill="1" applyAlignment="1">
      <alignment horizontal="left" wrapText="1"/>
    </xf>
    <xf numFmtId="0" fontId="3" fillId="16" borderId="0" xfId="0" applyFont="1" applyFill="1" applyAlignment="1">
      <alignment horizontal="left" vertical="center" wrapText="1"/>
    </xf>
    <xf numFmtId="0" fontId="10" fillId="19" borderId="0" xfId="0" applyFont="1" applyFill="1" applyAlignment="1">
      <alignment vertical="center"/>
    </xf>
    <xf numFmtId="0" fontId="3" fillId="21" borderId="0" xfId="0" applyFont="1" applyFill="1" applyAlignment="1">
      <alignment vertical="center"/>
    </xf>
    <xf numFmtId="0" fontId="3" fillId="21" borderId="0" xfId="0" applyFont="1" applyFill="1" applyAlignment="1">
      <alignment vertical="center" wrapText="1"/>
    </xf>
    <xf numFmtId="0" fontId="3" fillId="21" borderId="0" xfId="0" applyFont="1" applyFill="1"/>
    <xf numFmtId="0" fontId="3" fillId="21" borderId="0" xfId="0" applyFont="1" applyFill="1" applyAlignment="1">
      <alignment wrapText="1"/>
    </xf>
    <xf numFmtId="0" fontId="3" fillId="22" borderId="0" xfId="0" applyFont="1" applyFill="1" applyAlignment="1">
      <alignment vertical="center"/>
    </xf>
    <xf numFmtId="0" fontId="3" fillId="22" borderId="0" xfId="0" applyFont="1" applyFill="1" applyAlignment="1">
      <alignment vertical="center" wrapText="1"/>
    </xf>
    <xf numFmtId="0" fontId="3" fillId="23" borderId="11" xfId="0" applyFont="1" applyFill="1" applyBorder="1"/>
    <xf numFmtId="0" fontId="0" fillId="23" borderId="11" xfId="0" applyFill="1" applyBorder="1"/>
    <xf numFmtId="0" fontId="0" fillId="23" borderId="0" xfId="0" applyFill="1"/>
    <xf numFmtId="0" fontId="3" fillId="23" borderId="0" xfId="0" applyFont="1" applyFill="1"/>
    <xf numFmtId="0" fontId="3" fillId="23" borderId="0" xfId="0" applyFont="1" applyFill="1" applyAlignment="1">
      <alignment wrapText="1"/>
    </xf>
    <xf numFmtId="0" fontId="3" fillId="15" borderId="0" xfId="0" applyFont="1" applyFill="1" applyAlignment="1">
      <alignment wrapText="1"/>
    </xf>
    <xf numFmtId="0" fontId="8" fillId="23" borderId="0" xfId="0" applyFont="1" applyFill="1"/>
    <xf numFmtId="0" fontId="8" fillId="23" borderId="0" xfId="0" applyFont="1" applyFill="1" applyAlignment="1">
      <alignment wrapText="1"/>
    </xf>
    <xf numFmtId="0" fontId="6" fillId="23" borderId="0" xfId="0" applyFont="1" applyFill="1"/>
    <xf numFmtId="0" fontId="6" fillId="15" borderId="0" xfId="0" applyFont="1" applyFill="1"/>
    <xf numFmtId="0" fontId="43" fillId="23" borderId="11" xfId="0" applyFont="1" applyFill="1" applyBorder="1"/>
    <xf numFmtId="0" fontId="7" fillId="15" borderId="0" xfId="0" applyFont="1" applyFill="1"/>
    <xf numFmtId="0" fontId="15" fillId="23" borderId="0" xfId="0" applyFont="1" applyFill="1"/>
    <xf numFmtId="0" fontId="7" fillId="23" borderId="0" xfId="0" applyFont="1" applyFill="1"/>
    <xf numFmtId="0" fontId="9" fillId="4" borderId="19" xfId="0" applyFont="1" applyFill="1" applyBorder="1"/>
    <xf numFmtId="0" fontId="46" fillId="23" borderId="0" xfId="0" applyFont="1" applyFill="1"/>
    <xf numFmtId="0" fontId="9" fillId="23" borderId="0" xfId="0" applyFont="1" applyFill="1" applyAlignment="1">
      <alignment horizontal="center" vertical="center" wrapText="1"/>
    </xf>
    <xf numFmtId="0" fontId="3" fillId="23" borderId="0" xfId="0" applyFont="1" applyFill="1" applyAlignment="1">
      <alignment horizontal="left" vertical="center" wrapText="1"/>
    </xf>
    <xf numFmtId="0" fontId="9" fillId="23" borderId="0" xfId="0" applyFont="1" applyFill="1" applyAlignment="1">
      <alignment horizontal="left" vertical="center" wrapText="1"/>
    </xf>
    <xf numFmtId="0" fontId="9" fillId="23" borderId="0" xfId="0" applyFont="1" applyFill="1" applyAlignment="1">
      <alignment vertical="center"/>
    </xf>
    <xf numFmtId="0" fontId="7" fillId="23" borderId="0" xfId="0" applyFont="1" applyFill="1" applyAlignment="1">
      <alignment vertical="center"/>
    </xf>
    <xf numFmtId="0" fontId="43" fillId="23" borderId="0" xfId="0" applyFont="1" applyFill="1"/>
    <xf numFmtId="0" fontId="6" fillId="23" borderId="0" xfId="0" applyFont="1" applyFill="1" applyAlignment="1">
      <alignment horizontal="left" vertical="center"/>
    </xf>
    <xf numFmtId="0" fontId="6" fillId="23" borderId="0" xfId="0" applyFont="1" applyFill="1" applyAlignment="1">
      <alignment horizontal="center" vertical="center" wrapText="1"/>
    </xf>
    <xf numFmtId="0" fontId="6" fillId="23" borderId="0" xfId="0" applyFont="1" applyFill="1" applyAlignment="1">
      <alignment horizontal="center" wrapText="1"/>
    </xf>
    <xf numFmtId="0" fontId="6" fillId="23" borderId="0" xfId="0" applyFont="1" applyFill="1" applyAlignment="1">
      <alignment horizontal="center" vertical="center"/>
    </xf>
    <xf numFmtId="0" fontId="6" fillId="23" borderId="0" xfId="0" applyFont="1" applyFill="1" applyAlignment="1">
      <alignment vertical="center" wrapText="1"/>
    </xf>
    <xf numFmtId="0" fontId="1" fillId="16" borderId="22" xfId="0" applyFont="1" applyFill="1" applyBorder="1" applyAlignment="1">
      <alignment vertical="center"/>
    </xf>
    <xf numFmtId="0" fontId="1" fillId="16" borderId="4" xfId="0" applyFont="1" applyFill="1" applyBorder="1" applyAlignment="1">
      <alignment vertical="center"/>
    </xf>
    <xf numFmtId="0" fontId="1" fillId="16" borderId="3" xfId="0" applyFont="1" applyFill="1" applyBorder="1" applyAlignment="1">
      <alignment horizontal="centerContinuous"/>
    </xf>
    <xf numFmtId="0" fontId="1" fillId="16" borderId="22" xfId="0" applyFont="1" applyFill="1" applyBorder="1" applyAlignment="1">
      <alignment horizontal="center"/>
    </xf>
    <xf numFmtId="0" fontId="1" fillId="16" borderId="4" xfId="0" applyFont="1" applyFill="1" applyBorder="1" applyAlignment="1">
      <alignment horizontal="center"/>
    </xf>
    <xf numFmtId="0" fontId="1" fillId="16" borderId="22" xfId="0" applyFont="1" applyFill="1" applyBorder="1" applyAlignment="1">
      <alignment vertical="center" wrapText="1"/>
    </xf>
    <xf numFmtId="0" fontId="1" fillId="16" borderId="4" xfId="0" applyFont="1" applyFill="1" applyBorder="1" applyAlignment="1">
      <alignment vertical="center" wrapText="1"/>
    </xf>
    <xf numFmtId="10" fontId="0" fillId="16" borderId="0" xfId="1" applyNumberFormat="1" applyFont="1" applyFill="1"/>
    <xf numFmtId="0" fontId="0" fillId="16" borderId="11" xfId="0" applyFill="1" applyBorder="1" applyAlignment="1">
      <alignment horizontal="left" indent="1"/>
    </xf>
    <xf numFmtId="5" fontId="0" fillId="16" borderId="0" xfId="6" applyNumberFormat="1" applyFont="1" applyFill="1" applyBorder="1" applyAlignment="1">
      <alignment horizontal="right" indent="1"/>
    </xf>
    <xf numFmtId="5" fontId="0" fillId="16" borderId="11" xfId="6" applyNumberFormat="1" applyFont="1" applyFill="1" applyBorder="1" applyAlignment="1">
      <alignment horizontal="right" indent="1"/>
    </xf>
    <xf numFmtId="5" fontId="0" fillId="16" borderId="0" xfId="6" applyNumberFormat="1" applyFont="1" applyFill="1" applyAlignment="1"/>
    <xf numFmtId="5" fontId="0" fillId="16" borderId="11" xfId="6" applyNumberFormat="1" applyFont="1" applyFill="1" applyBorder="1" applyAlignment="1"/>
    <xf numFmtId="175" fontId="0" fillId="16" borderId="11" xfId="1" applyNumberFormat="1" applyFont="1" applyFill="1" applyBorder="1" applyAlignment="1"/>
    <xf numFmtId="0" fontId="1" fillId="16" borderId="22" xfId="0" applyFont="1" applyFill="1" applyBorder="1" applyAlignment="1">
      <alignment horizontal="center" vertical="center"/>
    </xf>
    <xf numFmtId="0" fontId="21" fillId="16" borderId="4" xfId="0" applyFont="1" applyFill="1" applyBorder="1"/>
    <xf numFmtId="165" fontId="3" fillId="3" borderId="19" xfId="0" applyNumberFormat="1" applyFont="1" applyFill="1" applyBorder="1" applyAlignment="1">
      <alignment horizontal="right"/>
    </xf>
    <xf numFmtId="165" fontId="3" fillId="16" borderId="2" xfId="0" applyNumberFormat="1" applyFont="1" applyFill="1" applyBorder="1" applyAlignment="1">
      <alignment horizontal="right"/>
    </xf>
    <xf numFmtId="166" fontId="3" fillId="4" borderId="19" xfId="0" applyNumberFormat="1" applyFont="1" applyFill="1" applyBorder="1"/>
    <xf numFmtId="10" fontId="3" fillId="3" borderId="19" xfId="0" applyNumberFormat="1" applyFont="1" applyFill="1" applyBorder="1" applyAlignment="1">
      <alignment horizontal="right"/>
    </xf>
    <xf numFmtId="166" fontId="9" fillId="3" borderId="19" xfId="0" applyNumberFormat="1" applyFont="1" applyFill="1" applyBorder="1"/>
    <xf numFmtId="10" fontId="9" fillId="3" borderId="23" xfId="0" applyNumberFormat="1" applyFont="1" applyFill="1" applyBorder="1"/>
    <xf numFmtId="0" fontId="21" fillId="16" borderId="4" xfId="0" applyFont="1" applyFill="1" applyBorder="1" applyAlignment="1">
      <alignment vertical="center"/>
    </xf>
    <xf numFmtId="0" fontId="0" fillId="16" borderId="22" xfId="0" applyFill="1" applyBorder="1"/>
    <xf numFmtId="0" fontId="1" fillId="16" borderId="4" xfId="0" applyFont="1" applyFill="1" applyBorder="1"/>
    <xf numFmtId="174" fontId="0" fillId="16" borderId="0" xfId="0" applyNumberFormat="1" applyFill="1"/>
    <xf numFmtId="174" fontId="0" fillId="16" borderId="11" xfId="0" applyNumberFormat="1" applyFill="1" applyBorder="1"/>
    <xf numFmtId="8" fontId="0" fillId="16" borderId="0" xfId="0" applyNumberFormat="1" applyFill="1"/>
    <xf numFmtId="175" fontId="0" fillId="16" borderId="0" xfId="1" applyNumberFormat="1" applyFont="1" applyFill="1"/>
    <xf numFmtId="175" fontId="0" fillId="16" borderId="0" xfId="0" applyNumberFormat="1" applyFill="1"/>
    <xf numFmtId="170" fontId="0" fillId="16" borderId="0" xfId="1" applyNumberFormat="1" applyFont="1" applyFill="1"/>
    <xf numFmtId="165" fontId="3" fillId="16" borderId="19" xfId="0" applyNumberFormat="1" applyFont="1" applyFill="1" applyBorder="1" applyAlignment="1">
      <alignment horizontal="right"/>
    </xf>
    <xf numFmtId="165" fontId="3" fillId="16" borderId="23" xfId="0" applyNumberFormat="1" applyFont="1" applyFill="1" applyBorder="1" applyAlignment="1">
      <alignment horizontal="right"/>
    </xf>
    <xf numFmtId="10" fontId="2" fillId="16" borderId="0" xfId="1" applyNumberFormat="1" applyFont="1" applyFill="1"/>
    <xf numFmtId="0" fontId="1" fillId="16" borderId="0" xfId="0" applyFont="1" applyFill="1" applyAlignment="1">
      <alignment horizontal="center" vertical="center" wrapText="1"/>
    </xf>
    <xf numFmtId="0" fontId="1" fillId="16" borderId="2" xfId="0" applyFont="1" applyFill="1" applyBorder="1" applyAlignment="1">
      <alignment horizontal="center" vertical="center"/>
    </xf>
    <xf numFmtId="6" fontId="0" fillId="15" borderId="0" xfId="0" applyNumberFormat="1" applyFill="1"/>
    <xf numFmtId="10" fontId="0" fillId="15" borderId="0" xfId="1" applyNumberFormat="1" applyFont="1" applyFill="1"/>
    <xf numFmtId="10" fontId="1" fillId="16" borderId="11" xfId="1" applyNumberFormat="1" applyFont="1" applyFill="1" applyBorder="1"/>
    <xf numFmtId="170" fontId="0" fillId="15" borderId="0" xfId="1" applyNumberFormat="1" applyFont="1" applyFill="1"/>
    <xf numFmtId="10" fontId="26" fillId="16" borderId="0" xfId="1" applyNumberFormat="1" applyFont="1" applyFill="1"/>
    <xf numFmtId="175" fontId="0" fillId="16" borderId="11" xfId="1" applyNumberFormat="1" applyFont="1" applyFill="1" applyBorder="1"/>
    <xf numFmtId="175" fontId="0" fillId="16" borderId="11" xfId="0" applyNumberFormat="1" applyFill="1" applyBorder="1"/>
    <xf numFmtId="0" fontId="1" fillId="5" borderId="0" xfId="0" applyFont="1" applyFill="1" applyAlignment="1">
      <alignment horizontal="center" vertical="center"/>
    </xf>
    <xf numFmtId="9" fontId="7" fillId="23" borderId="0" xfId="2" applyNumberFormat="1" applyFont="1" applyFill="1" applyAlignment="1">
      <alignment horizontal="right" indent="2"/>
    </xf>
    <xf numFmtId="166" fontId="0" fillId="23" borderId="0" xfId="0" applyNumberFormat="1" applyFill="1" applyAlignment="1">
      <alignment horizontal="right" indent="2"/>
    </xf>
    <xf numFmtId="2" fontId="3" fillId="16" borderId="0" xfId="0" applyNumberFormat="1" applyFont="1" applyFill="1"/>
    <xf numFmtId="176" fontId="3" fillId="16" borderId="0" xfId="0" applyNumberFormat="1" applyFont="1" applyFill="1"/>
    <xf numFmtId="4" fontId="1" fillId="16" borderId="2" xfId="0" applyNumberFormat="1" applyFont="1" applyFill="1" applyBorder="1" applyAlignment="1">
      <alignment horizontal="right"/>
    </xf>
    <xf numFmtId="2" fontId="0" fillId="16" borderId="0" xfId="1" applyNumberFormat="1" applyFont="1" applyFill="1" applyAlignment="1"/>
    <xf numFmtId="2" fontId="0" fillId="16" borderId="0" xfId="0" applyNumberFormat="1" applyFill="1"/>
    <xf numFmtId="0" fontId="1" fillId="16" borderId="0" xfId="0" applyFont="1" applyFill="1" applyAlignment="1">
      <alignment horizontal="center"/>
    </xf>
    <xf numFmtId="164" fontId="9" fillId="16" borderId="0" xfId="0" applyNumberFormat="1" applyFont="1" applyFill="1"/>
    <xf numFmtId="0" fontId="3" fillId="3" borderId="1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4" fillId="0" borderId="0" xfId="2" applyFont="1"/>
    <xf numFmtId="0" fontId="14" fillId="7" borderId="0" xfId="2" applyFont="1" applyFill="1"/>
    <xf numFmtId="1" fontId="3" fillId="4" borderId="19" xfId="1" applyNumberFormat="1" applyFont="1" applyFill="1" applyBorder="1"/>
    <xf numFmtId="166" fontId="3" fillId="4" borderId="19" xfId="0" applyNumberFormat="1" applyFont="1" applyFill="1" applyBorder="1" applyAlignment="1">
      <alignment horizontal="right"/>
    </xf>
    <xf numFmtId="0" fontId="1" fillId="19" borderId="0" xfId="0" applyFont="1" applyFill="1" applyAlignment="1">
      <alignment horizontal="left"/>
    </xf>
    <xf numFmtId="0" fontId="1" fillId="19" borderId="0" xfId="0" applyFont="1" applyFill="1" applyAlignment="1">
      <alignment horizontal="left" vertical="top"/>
    </xf>
    <xf numFmtId="0" fontId="3" fillId="3" borderId="0" xfId="0" applyFont="1" applyFill="1" applyAlignment="1">
      <alignment wrapText="1"/>
    </xf>
    <xf numFmtId="3" fontId="0" fillId="16" borderId="0" xfId="0" applyNumberFormat="1" applyFill="1" applyAlignment="1">
      <alignment horizontal="right"/>
    </xf>
    <xf numFmtId="165" fontId="3" fillId="4" borderId="19" xfId="0" applyNumberFormat="1" applyFont="1" applyFill="1" applyBorder="1" applyAlignment="1">
      <alignment horizontal="right"/>
    </xf>
    <xf numFmtId="166" fontId="0" fillId="16" borderId="11" xfId="0" applyNumberFormat="1" applyFill="1" applyBorder="1"/>
    <xf numFmtId="0" fontId="0" fillId="16" borderId="3" xfId="0" applyFill="1" applyBorder="1"/>
    <xf numFmtId="9" fontId="0" fillId="16" borderId="4" xfId="1" applyFont="1" applyFill="1" applyBorder="1" applyAlignment="1"/>
    <xf numFmtId="10" fontId="0" fillId="16" borderId="4" xfId="0" applyNumberFormat="1" applyFill="1" applyBorder="1"/>
    <xf numFmtId="175" fontId="0" fillId="16" borderId="4" xfId="1" applyNumberFormat="1" applyFont="1" applyFill="1" applyBorder="1"/>
    <xf numFmtId="166" fontId="1" fillId="16" borderId="21" xfId="0" applyNumberFormat="1" applyFont="1" applyFill="1" applyBorder="1"/>
    <xf numFmtId="175" fontId="3" fillId="4" borderId="19" xfId="1" applyNumberFormat="1" applyFont="1" applyFill="1" applyBorder="1" applyAlignment="1">
      <alignment horizontal="right"/>
    </xf>
    <xf numFmtId="0" fontId="21" fillId="16" borderId="0" xfId="0" applyFont="1" applyFill="1" applyAlignment="1">
      <alignment horizontal="left" vertical="center" wrapText="1"/>
    </xf>
    <xf numFmtId="166" fontId="9" fillId="16" borderId="19" xfId="0" applyNumberFormat="1" applyFont="1" applyFill="1" applyBorder="1" applyAlignment="1">
      <alignment horizontal="right"/>
    </xf>
    <xf numFmtId="0" fontId="48" fillId="16" borderId="0" xfId="0" applyFont="1" applyFill="1"/>
    <xf numFmtId="0" fontId="0" fillId="16" borderId="0" xfId="0" applyFill="1" applyAlignment="1">
      <alignment wrapText="1"/>
    </xf>
    <xf numFmtId="10" fontId="0" fillId="16" borderId="0" xfId="0" applyNumberFormat="1" applyFill="1" applyAlignment="1">
      <alignment vertical="center"/>
    </xf>
    <xf numFmtId="164" fontId="3" fillId="16" borderId="0" xfId="0" applyNumberFormat="1" applyFont="1" applyFill="1" applyAlignment="1">
      <alignment horizontal="right" vertical="center" indent="1"/>
    </xf>
    <xf numFmtId="0" fontId="30" fillId="16" borderId="4" xfId="0" applyFont="1" applyFill="1" applyBorder="1" applyAlignment="1">
      <alignment horizontal="left"/>
    </xf>
    <xf numFmtId="0" fontId="3" fillId="16" borderId="0" xfId="0" applyFont="1" applyFill="1" applyAlignment="1">
      <alignment horizontal="left" vertical="top" wrapText="1"/>
    </xf>
    <xf numFmtId="0" fontId="30" fillId="16" borderId="4" xfId="0" applyFont="1" applyFill="1" applyBorder="1" applyAlignment="1">
      <alignment horizontal="left" vertical="top"/>
    </xf>
    <xf numFmtId="0" fontId="49" fillId="16" borderId="0" xfId="0" applyFont="1" applyFill="1" applyAlignment="1">
      <alignment horizontal="left" vertical="top" wrapText="1"/>
    </xf>
    <xf numFmtId="0" fontId="31" fillId="16" borderId="0" xfId="0" applyFont="1" applyFill="1" applyAlignment="1">
      <alignment horizontal="left"/>
    </xf>
    <xf numFmtId="0" fontId="31" fillId="16" borderId="0" xfId="0" applyFont="1" applyFill="1" applyAlignment="1">
      <alignment horizontal="left" wrapText="1"/>
    </xf>
    <xf numFmtId="0" fontId="32" fillId="16" borderId="0" xfId="0" applyFont="1" applyFill="1" applyAlignment="1">
      <alignment horizontal="left"/>
    </xf>
    <xf numFmtId="171" fontId="33" fillId="16" borderId="0" xfId="0" applyNumberFormat="1" applyFont="1" applyFill="1" applyAlignment="1">
      <alignment horizontal="left"/>
    </xf>
    <xf numFmtId="0" fontId="9" fillId="16" borderId="0" xfId="0" applyFont="1" applyFill="1" applyAlignment="1">
      <alignment horizontal="left" wrapText="1"/>
    </xf>
    <xf numFmtId="0" fontId="20" fillId="23" borderId="11" xfId="0" applyFont="1" applyFill="1" applyBorder="1" applyAlignment="1">
      <alignment horizontal="left"/>
    </xf>
    <xf numFmtId="0" fontId="47" fillId="23" borderId="11" xfId="0" applyFont="1" applyFill="1" applyBorder="1" applyAlignment="1">
      <alignment horizontal="left"/>
    </xf>
    <xf numFmtId="0" fontId="9" fillId="23" borderId="0" xfId="0" applyFont="1" applyFill="1" applyAlignment="1">
      <alignment horizontal="left" vertical="top" wrapText="1"/>
    </xf>
    <xf numFmtId="0" fontId="7" fillId="23" borderId="0" xfId="0" applyFont="1" applyFill="1" applyAlignment="1">
      <alignment horizontal="left" wrapText="1"/>
    </xf>
    <xf numFmtId="0" fontId="7" fillId="23" borderId="0" xfId="0" applyFont="1" applyFill="1" applyAlignment="1">
      <alignment horizontal="left" vertical="top" wrapText="1"/>
    </xf>
    <xf numFmtId="0" fontId="7" fillId="15" borderId="0" xfId="0" applyFont="1" applyFill="1" applyAlignment="1">
      <alignment horizontal="left" vertical="top" wrapText="1"/>
    </xf>
    <xf numFmtId="0" fontId="2" fillId="16" borderId="3" xfId="0" applyFont="1" applyFill="1" applyBorder="1" applyAlignment="1">
      <alignment horizontal="center" vertical="center"/>
    </xf>
    <xf numFmtId="0" fontId="2" fillId="16" borderId="22" xfId="0" applyFont="1" applyFill="1" applyBorder="1" applyAlignment="1">
      <alignment horizontal="left" vertical="center"/>
    </xf>
    <xf numFmtId="0" fontId="2" fillId="16" borderId="4" xfId="0" applyFont="1" applyFill="1" applyBorder="1" applyAlignment="1">
      <alignment horizontal="left" vertical="center"/>
    </xf>
    <xf numFmtId="165" fontId="0" fillId="16" borderId="0" xfId="1" applyNumberFormat="1" applyFont="1" applyFill="1" applyAlignment="1">
      <alignment horizontal="center"/>
    </xf>
    <xf numFmtId="0" fontId="1" fillId="16" borderId="3" xfId="0" applyFont="1" applyFill="1" applyBorder="1" applyAlignment="1">
      <alignment horizontal="center"/>
    </xf>
    <xf numFmtId="0" fontId="1" fillId="16" borderId="0" xfId="0" applyFont="1" applyFill="1" applyAlignment="1">
      <alignment horizontal="center" vertical="center"/>
    </xf>
    <xf numFmtId="0" fontId="1" fillId="16" borderId="4" xfId="0" applyFont="1" applyFill="1" applyBorder="1" applyAlignment="1">
      <alignment horizontal="center" vertical="center"/>
    </xf>
    <xf numFmtId="0" fontId="1" fillId="16" borderId="1" xfId="0" applyFont="1" applyFill="1" applyBorder="1" applyAlignment="1">
      <alignment horizontal="center" vertical="center"/>
    </xf>
    <xf numFmtId="0" fontId="1" fillId="16" borderId="22" xfId="0" applyFont="1" applyFill="1" applyBorder="1" applyAlignment="1">
      <alignment horizontal="center" vertical="center"/>
    </xf>
    <xf numFmtId="0" fontId="1" fillId="16" borderId="22"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6" borderId="22" xfId="0" applyFont="1" applyFill="1" applyBorder="1" applyAlignment="1">
      <alignment horizontal="left" vertical="center"/>
    </xf>
    <xf numFmtId="0" fontId="1" fillId="16" borderId="4" xfId="0" applyFont="1" applyFill="1" applyBorder="1" applyAlignment="1">
      <alignment horizontal="left" vertical="center"/>
    </xf>
    <xf numFmtId="0" fontId="1" fillId="16" borderId="22" xfId="0" applyFont="1" applyFill="1" applyBorder="1" applyAlignment="1">
      <alignment horizontal="left" vertical="center" wrapText="1"/>
    </xf>
    <xf numFmtId="0" fontId="1" fillId="16" borderId="4" xfId="0" applyFont="1" applyFill="1" applyBorder="1" applyAlignment="1">
      <alignment horizontal="left" vertical="center" wrapText="1"/>
    </xf>
    <xf numFmtId="165" fontId="1" fillId="16" borderId="2" xfId="0" applyNumberFormat="1" applyFont="1" applyFill="1" applyBorder="1" applyAlignment="1">
      <alignment horizontal="center"/>
    </xf>
    <xf numFmtId="0" fontId="9" fillId="16" borderId="0" xfId="0" applyFont="1" applyFill="1" applyAlignment="1">
      <alignment horizontal="left" vertical="top" wrapText="1"/>
    </xf>
    <xf numFmtId="0" fontId="2" fillId="16" borderId="0" xfId="0" applyFont="1" applyFill="1" applyAlignment="1">
      <alignment horizontal="center" vertical="center"/>
    </xf>
    <xf numFmtId="10" fontId="3" fillId="16" borderId="0" xfId="1" applyNumberFormat="1" applyFont="1" applyFill="1" applyAlignment="1">
      <alignment horizontal="center"/>
    </xf>
    <xf numFmtId="0" fontId="0" fillId="16" borderId="0" xfId="0" applyFill="1" applyAlignment="1">
      <alignment horizontal="left" vertical="center" wrapText="1"/>
    </xf>
    <xf numFmtId="0" fontId="7" fillId="0" borderId="15" xfId="2" applyFont="1" applyBorder="1" applyAlignment="1">
      <alignment horizontal="center"/>
    </xf>
    <xf numFmtId="0" fontId="7" fillId="0" borderId="16" xfId="2" applyFont="1" applyBorder="1" applyAlignment="1">
      <alignment horizontal="center"/>
    </xf>
    <xf numFmtId="0" fontId="7" fillId="0" borderId="1" xfId="2" applyFont="1" applyBorder="1"/>
    <xf numFmtId="0" fontId="7" fillId="0" borderId="5" xfId="2" applyFont="1" applyBorder="1" applyAlignment="1">
      <alignment vertical="top" wrapText="1"/>
    </xf>
    <xf numFmtId="0" fontId="7" fillId="0" borderId="2" xfId="2" applyFont="1" applyBorder="1" applyAlignment="1">
      <alignment vertical="top" wrapText="1"/>
    </xf>
    <xf numFmtId="0" fontId="7" fillId="0" borderId="6" xfId="2" applyFont="1" applyBorder="1" applyAlignment="1">
      <alignment vertical="top" wrapText="1"/>
    </xf>
    <xf numFmtId="0" fontId="7" fillId="0" borderId="7" xfId="2" applyFont="1" applyBorder="1" applyAlignment="1">
      <alignment vertical="top" wrapText="1"/>
    </xf>
    <xf numFmtId="0" fontId="7" fillId="0" borderId="0" xfId="2" applyFont="1" applyAlignment="1">
      <alignment vertical="top" wrapText="1"/>
    </xf>
    <xf numFmtId="0" fontId="7" fillId="0" borderId="8" xfId="2" applyFont="1" applyBorder="1" applyAlignment="1">
      <alignment vertical="top" wrapText="1"/>
    </xf>
    <xf numFmtId="0" fontId="7" fillId="0" borderId="9" xfId="2" applyFont="1" applyBorder="1" applyAlignment="1">
      <alignment vertical="top" wrapText="1"/>
    </xf>
    <xf numFmtId="0" fontId="7" fillId="0" borderId="4" xfId="2" applyFont="1" applyBorder="1" applyAlignment="1">
      <alignment vertical="top" wrapText="1"/>
    </xf>
    <xf numFmtId="0" fontId="7" fillId="0" borderId="10" xfId="2" applyFont="1" applyBorder="1" applyAlignment="1">
      <alignment vertical="top" wrapText="1"/>
    </xf>
    <xf numFmtId="0" fontId="15" fillId="0" borderId="1" xfId="2" applyFont="1" applyBorder="1"/>
    <xf numFmtId="0" fontId="0" fillId="16" borderId="0" xfId="0" applyFill="1" applyAlignment="1">
      <alignment horizontal="center"/>
    </xf>
    <xf numFmtId="0" fontId="0" fillId="16" borderId="0" xfId="0" applyFill="1" applyAlignment="1">
      <alignment horizontal="center" vertical="center"/>
    </xf>
    <xf numFmtId="0" fontId="0" fillId="16" borderId="0" xfId="0" applyFill="1" applyAlignment="1">
      <alignment horizontal="left" vertical="top" wrapText="1"/>
    </xf>
    <xf numFmtId="0" fontId="1" fillId="16" borderId="1" xfId="0" applyFont="1" applyFill="1" applyBorder="1" applyAlignment="1">
      <alignment horizontal="center" vertical="center" wrapText="1"/>
    </xf>
    <xf numFmtId="0" fontId="0" fillId="16" borderId="0" xfId="0" applyFill="1" applyAlignment="1">
      <alignment horizontal="center" vertical="center" wrapText="1"/>
    </xf>
    <xf numFmtId="0" fontId="1" fillId="16" borderId="3" xfId="0" applyFont="1" applyFill="1" applyBorder="1" applyAlignment="1">
      <alignment horizontal="center" vertical="center" wrapText="1"/>
    </xf>
    <xf numFmtId="10" fontId="0" fillId="16" borderId="0" xfId="1" applyNumberFormat="1" applyFont="1" applyFill="1" applyAlignment="1">
      <alignment horizontal="center"/>
    </xf>
  </cellXfs>
  <cellStyles count="8">
    <cellStyle name="Comma 2" xfId="4" xr:uid="{CB183EC9-5315-4F4B-BF00-764D10675E86}"/>
    <cellStyle name="Currency" xfId="6" builtinId="4"/>
    <cellStyle name="Currency 2" xfId="3" xr:uid="{1E78DDAD-8661-46F9-8316-7F5B10113727}"/>
    <cellStyle name="Hyperlink" xfId="7" builtinId="8"/>
    <cellStyle name="Normal" xfId="0" builtinId="0"/>
    <cellStyle name="Normal 3" xfId="2" xr:uid="{FFBE5177-8DE9-4716-A9F8-8E73A91C8B43}"/>
    <cellStyle name="Normal 4" xfId="5" xr:uid="{6BAD6360-2331-409C-8EFE-9A39AAC03E65}"/>
    <cellStyle name="Percent" xfId="1" builtinId="5"/>
  </cellStyles>
  <dxfs count="43">
    <dxf>
      <font>
        <color rgb="FF9C0006"/>
      </font>
      <fill>
        <patternFill>
          <bgColor rgb="FFFFC7CE"/>
        </patternFill>
      </fill>
    </dxf>
    <dxf>
      <font>
        <color rgb="FF00B050"/>
      </font>
      <fill>
        <patternFill>
          <bgColor theme="7" tint="0.79998168889431442"/>
        </patternFill>
      </fill>
    </dxf>
    <dxf>
      <font>
        <color rgb="FFFF0000"/>
      </font>
      <fill>
        <patternFill>
          <bgColor rgb="FFFFC5C5"/>
        </patternFill>
      </fill>
    </dxf>
    <dxf>
      <font>
        <color rgb="FF00B050"/>
      </font>
      <fill>
        <patternFill>
          <bgColor theme="7" tint="0.79998168889431442"/>
        </patternFill>
      </fill>
    </dxf>
    <dxf>
      <font>
        <color rgb="FFFF0000"/>
      </font>
      <fill>
        <patternFill>
          <bgColor rgb="FFFFC5C5"/>
        </patternFill>
      </fill>
    </dxf>
    <dxf>
      <font>
        <color rgb="FF00B050"/>
      </font>
      <fill>
        <patternFill>
          <bgColor theme="7" tint="0.79998168889431442"/>
        </patternFill>
      </fill>
    </dxf>
    <dxf>
      <font>
        <color rgb="FFFF0000"/>
      </font>
      <fill>
        <patternFill>
          <bgColor rgb="FFFFC5C5"/>
        </patternFill>
      </fill>
    </dxf>
    <dxf>
      <font>
        <color rgb="FF00B050"/>
      </font>
      <fill>
        <patternFill>
          <bgColor theme="7" tint="0.79998168889431442"/>
        </patternFill>
      </fill>
    </dxf>
    <dxf>
      <font>
        <color rgb="FFFF0000"/>
      </font>
      <fill>
        <patternFill>
          <bgColor rgb="FFFFC5C5"/>
        </patternFill>
      </fill>
    </dxf>
    <dxf>
      <font>
        <color rgb="FF00B050"/>
      </font>
      <fill>
        <patternFill>
          <bgColor theme="7" tint="0.79998168889431442"/>
        </patternFill>
      </fill>
    </dxf>
    <dxf>
      <font>
        <color rgb="FFFF0000"/>
      </font>
      <fill>
        <patternFill>
          <bgColor rgb="FFFFC5C5"/>
        </patternFill>
      </fill>
    </dxf>
    <dxf>
      <font>
        <color rgb="FF00B050"/>
      </font>
      <fill>
        <patternFill>
          <bgColor theme="7" tint="0.79998168889431442"/>
        </patternFill>
      </fill>
    </dxf>
    <dxf>
      <font>
        <color rgb="FF00B050"/>
      </font>
      <fill>
        <patternFill>
          <bgColor theme="7" tint="0.79998168889431442"/>
        </patternFill>
      </fill>
    </dxf>
    <dxf>
      <fill>
        <patternFill patternType="none">
          <fgColor indexed="64"/>
          <bgColor auto="1"/>
        </patternFill>
      </fill>
      <alignment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1"/>
        <color theme="1"/>
        <name val="Century Gothic"/>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6"/>
        </top>
        <bottom/>
      </border>
    </dxf>
    <dxf>
      <border outline="0">
        <left style="thin">
          <color rgb="FFA5A5A5"/>
        </left>
        <right style="thin">
          <color rgb="FFA5A5A5"/>
        </right>
        <top style="medium">
          <color rgb="FFA5A5A5"/>
        </top>
        <bottom style="thin">
          <color rgb="FFA5A5A5"/>
        </bottom>
      </border>
    </dxf>
    <dxf>
      <fill>
        <patternFill patternType="none">
          <fgColor rgb="FF000000"/>
          <bgColor auto="1"/>
        </patternFill>
      </fill>
    </dxf>
    <dxf>
      <font>
        <b val="0"/>
        <i val="0"/>
        <strike val="0"/>
        <condense val="0"/>
        <extend val="0"/>
        <outline val="0"/>
        <shadow val="0"/>
        <u val="none"/>
        <vertAlign val="baseline"/>
        <sz val="11"/>
        <color theme="1"/>
        <name val="Century Gothic"/>
        <family val="2"/>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theme="6"/>
        </left>
        <right style="thin">
          <color theme="6"/>
        </right>
        <top/>
        <bottom/>
      </border>
    </dxf>
    <dxf>
      <font>
        <strike val="0"/>
        <outline val="0"/>
        <shadow val="0"/>
        <u val="none"/>
        <vertAlign val="baseline"/>
        <sz val="11"/>
        <color theme="1" tint="0.499984740745262"/>
        <name val="Century Gothic"/>
        <family val="2"/>
        <scheme val="minor"/>
      </font>
      <fill>
        <patternFill patternType="none">
          <fgColor indexed="64"/>
          <bgColor auto="1"/>
        </patternFill>
      </fill>
    </dxf>
    <dxf>
      <font>
        <strike val="0"/>
        <outline val="0"/>
        <shadow val="0"/>
        <u val="none"/>
        <vertAlign val="baseline"/>
        <sz val="11"/>
        <color theme="1" tint="0.499984740745262"/>
        <name val="Century Gothic"/>
        <family val="2"/>
        <scheme val="minor"/>
      </font>
      <fill>
        <patternFill patternType="none">
          <fgColor indexed="64"/>
          <bgColor auto="1"/>
        </patternFill>
      </fill>
    </dxf>
    <dxf>
      <font>
        <strike val="0"/>
        <outline val="0"/>
        <shadow val="0"/>
        <u val="none"/>
        <vertAlign val="baseline"/>
        <sz val="11"/>
        <color theme="1" tint="0.499984740745262"/>
        <name val="Century Gothic"/>
        <family val="2"/>
        <scheme val="minor"/>
      </font>
      <fill>
        <patternFill patternType="none">
          <fgColor indexed="64"/>
          <bgColor auto="1"/>
        </patternFill>
      </fill>
    </dxf>
    <dxf>
      <font>
        <strike val="0"/>
        <outline val="0"/>
        <shadow val="0"/>
        <u val="none"/>
        <vertAlign val="baseline"/>
        <sz val="11"/>
        <color theme="1" tint="0.499984740745262"/>
        <name val="Century Gothic"/>
        <family val="2"/>
        <scheme val="minor"/>
      </font>
      <fill>
        <patternFill patternType="none">
          <fgColor indexed="64"/>
          <bgColor auto="1"/>
        </patternFill>
      </fill>
    </dxf>
    <dxf>
      <font>
        <strike val="0"/>
        <outline val="0"/>
        <shadow val="0"/>
        <u val="none"/>
        <vertAlign val="baseline"/>
        <sz val="11"/>
        <color theme="1" tint="0.499984740745262"/>
        <name val="Century Gothic"/>
        <family val="2"/>
        <scheme val="minor"/>
      </font>
      <fill>
        <patternFill patternType="none">
          <fgColor indexed="64"/>
          <bgColor auto="1"/>
        </patternFill>
      </fill>
    </dxf>
    <dxf>
      <font>
        <b val="0"/>
        <i val="0"/>
        <strike val="0"/>
        <condense val="0"/>
        <extend val="0"/>
        <outline val="0"/>
        <shadow val="0"/>
        <u val="none"/>
        <vertAlign val="baseline"/>
        <sz val="11"/>
        <color theme="1" tint="0.499984740745262"/>
        <name val="Century Gothic"/>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6"/>
        </top>
        <bottom/>
      </border>
    </dxf>
    <dxf>
      <border outline="0">
        <left style="thin">
          <color rgb="FFA5A5A5"/>
        </left>
        <right style="thin">
          <color rgb="FFA5A5A5"/>
        </right>
        <top style="medium">
          <color rgb="FFA5A5A5"/>
        </top>
        <bottom style="thin">
          <color rgb="FFA5A5A5"/>
        </bottom>
      </border>
    </dxf>
    <dxf>
      <font>
        <strike val="0"/>
        <outline val="0"/>
        <shadow val="0"/>
        <u val="none"/>
        <vertAlign val="baseline"/>
        <sz val="11"/>
        <color rgb="FF808080"/>
        <name val="Calibri"/>
        <family val="2"/>
        <scheme val="none"/>
      </font>
      <fill>
        <patternFill patternType="none">
          <fgColor rgb="FF000000"/>
          <bgColor auto="1"/>
        </patternFill>
      </fill>
    </dxf>
    <dxf>
      <font>
        <b val="0"/>
        <i val="0"/>
        <strike val="0"/>
        <condense val="0"/>
        <extend val="0"/>
        <outline val="0"/>
        <shadow val="0"/>
        <u val="none"/>
        <vertAlign val="baseline"/>
        <sz val="11"/>
        <color theme="1" tint="0.499984740745262"/>
        <name val="Century Gothic"/>
        <family val="2"/>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theme="6"/>
        </left>
        <right style="thin">
          <color theme="6"/>
        </right>
        <top/>
        <bottom/>
      </border>
    </dxf>
    <dxf>
      <font>
        <b val="0"/>
        <i val="0"/>
        <strike val="0"/>
        <condense val="0"/>
        <extend val="0"/>
        <outline val="0"/>
        <shadow val="0"/>
        <u val="none"/>
        <vertAlign val="baseline"/>
        <sz val="11"/>
        <color auto="1"/>
        <name val="Century Gothic"/>
        <family val="2"/>
        <scheme val="minor"/>
      </font>
      <numFmt numFmtId="167" formatCode="_(&quot;$&quot;* #,##0_);_(&quot;$&quot;* \(#,##0\);_(&quot;$&quot;* &quot;-&quot;??_);_(@_)"/>
    </dxf>
    <dxf>
      <font>
        <b val="0"/>
        <i val="0"/>
        <strike val="0"/>
        <condense val="0"/>
        <extend val="0"/>
        <outline val="0"/>
        <shadow val="0"/>
        <u val="none"/>
        <vertAlign val="baseline"/>
        <sz val="11"/>
        <color auto="1"/>
        <name val="Century Gothic"/>
        <family val="2"/>
        <scheme val="minor"/>
      </font>
      <numFmt numFmtId="167" formatCode="_(&quot;$&quot;* #,##0_);_(&quot;$&quot;* \(#,##0\);_(&quot;$&quot;* &quot;-&quot;??_);_(@_)"/>
    </dxf>
    <dxf>
      <font>
        <b val="0"/>
        <i val="0"/>
        <strike val="0"/>
        <condense val="0"/>
        <extend val="0"/>
        <outline val="0"/>
        <shadow val="0"/>
        <u val="none"/>
        <vertAlign val="baseline"/>
        <sz val="11"/>
        <color auto="1"/>
        <name val="Century Gothic"/>
        <family val="2"/>
        <scheme val="minor"/>
      </font>
      <numFmt numFmtId="167" formatCode="_(&quot;$&quot;* #,##0_);_(&quot;$&quot;* \(#,##0\);_(&quot;$&quot;* &quot;-&quot;??_);_(@_)"/>
    </dxf>
    <dxf>
      <font>
        <b val="0"/>
        <i val="0"/>
        <strike val="0"/>
        <condense val="0"/>
        <extend val="0"/>
        <outline val="0"/>
        <shadow val="0"/>
        <u val="none"/>
        <vertAlign val="baseline"/>
        <sz val="11"/>
        <color auto="1"/>
        <name val="Century Gothic"/>
        <family val="2"/>
        <scheme val="minor"/>
      </font>
      <numFmt numFmtId="167" formatCode="_(&quot;$&quot;* #,##0_);_(&quot;$&quot;* \(#,##0\);_(&quot;$&quot;* &quot;-&quot;??_);_(@_)"/>
    </dxf>
    <dxf>
      <font>
        <b val="0"/>
        <i val="0"/>
        <strike val="0"/>
        <condense val="0"/>
        <extend val="0"/>
        <outline val="0"/>
        <shadow val="0"/>
        <u val="none"/>
        <vertAlign val="baseline"/>
        <sz val="11"/>
        <color auto="1"/>
        <name val="Century Gothic"/>
        <family val="2"/>
        <scheme val="minor"/>
      </font>
      <numFmt numFmtId="167" formatCode="_(&quot;$&quot;* #,##0_);_(&quot;$&quot;* \(#,##0\);_(&quot;$&quot;* &quot;-&quot;??_);_(@_)"/>
    </dxf>
    <dxf>
      <font>
        <b val="0"/>
        <i val="0"/>
        <strike val="0"/>
        <condense val="0"/>
        <extend val="0"/>
        <outline val="0"/>
        <shadow val="0"/>
        <u val="none"/>
        <vertAlign val="baseline"/>
        <sz val="11"/>
        <color auto="1"/>
        <name val="Century Gothic"/>
        <family val="2"/>
        <scheme val="minor"/>
      </font>
      <numFmt numFmtId="167" formatCode="_(&quot;$&quot;* #,##0_);_(&quot;$&quot;* \(#,##0\);_(&quot;$&quot;* &quot;-&quot;??_);_(@_)"/>
    </dxf>
    <dxf>
      <font>
        <b val="0"/>
        <i val="0"/>
        <strike val="0"/>
        <condense val="0"/>
        <extend val="0"/>
        <outline val="0"/>
        <shadow val="0"/>
        <u val="none"/>
        <vertAlign val="baseline"/>
        <sz val="11"/>
        <color auto="1"/>
        <name val="Century Gothic"/>
        <family val="2"/>
        <scheme val="minor"/>
      </font>
      <numFmt numFmtId="167" formatCode="_(&quot;$&quot;* #,##0_);_(&quot;$&quot;* \(#,##0\);_(&quot;$&quot;* &quot;-&quot;??_);_(@_)"/>
    </dxf>
    <dxf>
      <font>
        <b val="0"/>
        <i val="0"/>
        <strike val="0"/>
        <condense val="0"/>
        <extend val="0"/>
        <outline val="0"/>
        <shadow val="0"/>
        <u val="none"/>
        <vertAlign val="baseline"/>
        <sz val="11"/>
        <color auto="1"/>
        <name val="Century Gothic"/>
        <family val="2"/>
        <scheme val="minor"/>
      </font>
      <numFmt numFmtId="167" formatCode="_(&quot;$&quot;* #,##0_);_(&quot;$&quot;* \(#,##0\);_(&quot;$&quot;* &quot;-&quot;??_);_(@_)"/>
    </dxf>
    <dxf>
      <font>
        <b val="0"/>
        <i val="0"/>
        <strike val="0"/>
        <condense val="0"/>
        <extend val="0"/>
        <outline val="0"/>
        <shadow val="0"/>
        <u val="none"/>
        <vertAlign val="baseline"/>
        <sz val="11"/>
        <color auto="1"/>
        <name val="Century Gothic"/>
        <family val="2"/>
        <scheme val="minor"/>
      </font>
      <numFmt numFmtId="13" formatCode="0%"/>
    </dxf>
    <dxf>
      <border outline="0">
        <top style="thin">
          <color rgb="FF000000"/>
        </top>
      </border>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entury Gothic"/>
        <family val="2"/>
        <scheme val="minor"/>
      </font>
      <alignment horizontal="center" vertical="bottom" textRotation="0" wrapText="0" indent="0" justifyLastLine="0" shrinkToFit="0" readingOrder="0"/>
    </dxf>
  </dxfs>
  <tableStyles count="0" defaultTableStyle="TableStyleMedium2" defaultPivotStyle="PivotStyleLight16"/>
  <colors>
    <mruColors>
      <color rgb="FFFFFFFF"/>
      <color rgb="FFFFD1D1"/>
      <color rgb="FFFFC5C5"/>
      <color rgb="FFFFB9B9"/>
      <color rgb="FFFFB3B3"/>
      <color rgb="FFEBEBEB"/>
      <color rgb="FFFFFC18"/>
      <color rgb="FF9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US" sz="1050" b="1"/>
              <a:t>Residual Land Value per Square Foot</a:t>
            </a:r>
          </a:p>
        </c:rich>
      </c:tx>
      <c:layout>
        <c:manualLayout>
          <c:xMode val="edge"/>
          <c:yMode val="edge"/>
          <c:x val="2.8203769644786107E-2"/>
          <c:y val="1.9476090108967958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48206182880719"/>
          <c:y val="0.12805544582150455"/>
          <c:w val="0.82178312713409363"/>
          <c:h val="0.77199602012999602"/>
        </c:manualLayout>
      </c:layout>
      <c:stockChart>
        <c:ser>
          <c:idx val="0"/>
          <c:order val="0"/>
          <c:tx>
            <c:strRef>
              <c:f>'Static Output Exhibits'!$C$41</c:f>
              <c:strCache>
                <c:ptCount val="1"/>
                <c:pt idx="0">
                  <c:v>Baseline</c:v>
                </c:pt>
              </c:strCache>
            </c:strRef>
          </c:tx>
          <c:spPr>
            <a:ln w="25400" cap="rnd">
              <a:noFill/>
              <a:round/>
            </a:ln>
            <a:effectLst/>
          </c:spPr>
          <c:marker>
            <c:symbol val="circle"/>
            <c:size val="5"/>
            <c:spPr>
              <a:solidFill>
                <a:schemeClr val="accent1"/>
              </a:solidFill>
              <a:ln w="9525">
                <a:solidFill>
                  <a:schemeClr val="accent1"/>
                </a:solidFill>
              </a:ln>
              <a:effectLst/>
            </c:spPr>
          </c:marker>
          <c:cat>
            <c:numRef>
              <c:f>'Static Output Exhibits'!$B$42:$B$44</c:f>
              <c:numCache>
                <c:formatCode>0.00%</c:formatCode>
                <c:ptCount val="3"/>
                <c:pt idx="0">
                  <c:v>4.4999999999999998E-2</c:v>
                </c:pt>
                <c:pt idx="1">
                  <c:v>4.7500000000000001E-2</c:v>
                </c:pt>
                <c:pt idx="2">
                  <c:v>0.05</c:v>
                </c:pt>
              </c:numCache>
            </c:numRef>
          </c:cat>
          <c:val>
            <c:numRef>
              <c:f>'Static Output Exhibits'!$C$42:$C$44</c:f>
              <c:numCache>
                <c:formatCode>"$"#,##0_);[Red]\("$"#,##0\)</c:formatCode>
                <c:ptCount val="3"/>
                <c:pt idx="0">
                  <c:v>364.62169432870377</c:v>
                </c:pt>
                <c:pt idx="1">
                  <c:v>124.73497308113973</c:v>
                </c:pt>
                <c:pt idx="2">
                  <c:v>-91.163076041667239</c:v>
                </c:pt>
              </c:numCache>
            </c:numRef>
          </c:val>
          <c:smooth val="0"/>
          <c:extLst>
            <c:ext xmlns:c16="http://schemas.microsoft.com/office/drawing/2014/chart" uri="{C3380CC4-5D6E-409C-BE32-E72D297353CC}">
              <c16:uniqueId val="{00000000-20CA-4BD0-B1CE-0409682B32DC}"/>
            </c:ext>
          </c:extLst>
        </c:ser>
        <c:ser>
          <c:idx val="1"/>
          <c:order val="1"/>
          <c:tx>
            <c:strRef>
              <c:f>'Static Output Exhibits'!$D$41</c:f>
              <c:strCache>
                <c:ptCount val="1"/>
                <c:pt idx="0">
                  <c:v>Base</c:v>
                </c:pt>
              </c:strCache>
            </c:strRef>
          </c:tx>
          <c:spPr>
            <a:ln w="19050" cap="rnd">
              <a:noFill/>
              <a:round/>
            </a:ln>
            <a:effectLst/>
          </c:spPr>
          <c:marker>
            <c:symbol val="circle"/>
            <c:size val="5"/>
            <c:spPr>
              <a:solidFill>
                <a:schemeClr val="accent2"/>
              </a:solidFill>
              <a:ln w="9525">
                <a:solidFill>
                  <a:schemeClr val="accent2"/>
                </a:solidFill>
              </a:ln>
              <a:effectLst/>
            </c:spPr>
          </c:marker>
          <c:cat>
            <c:numRef>
              <c:f>'Static Output Exhibits'!$B$42:$B$44</c:f>
              <c:numCache>
                <c:formatCode>0.00%</c:formatCode>
                <c:ptCount val="3"/>
                <c:pt idx="0">
                  <c:v>4.4999999999999998E-2</c:v>
                </c:pt>
                <c:pt idx="1">
                  <c:v>4.7500000000000001E-2</c:v>
                </c:pt>
                <c:pt idx="2">
                  <c:v>0.05</c:v>
                </c:pt>
              </c:numCache>
            </c:numRef>
          </c:cat>
          <c:val>
            <c:numRef>
              <c:f>'Static Output Exhibits'!$D$42:$D$44</c:f>
              <c:numCache>
                <c:formatCode>"$"#,##0_);[Red]\("$"#,##0\)</c:formatCode>
                <c:ptCount val="3"/>
                <c:pt idx="0">
                  <c:v>225.30052099537053</c:v>
                </c:pt>
                <c:pt idx="1">
                  <c:v>-7.2535069188600492</c:v>
                </c:pt>
                <c:pt idx="2">
                  <c:v>-216.55213204166719</c:v>
                </c:pt>
              </c:numCache>
            </c:numRef>
          </c:val>
          <c:smooth val="0"/>
          <c:extLst>
            <c:ext xmlns:c16="http://schemas.microsoft.com/office/drawing/2014/chart" uri="{C3380CC4-5D6E-409C-BE32-E72D297353CC}">
              <c16:uniqueId val="{00000001-20CA-4BD0-B1CE-0409682B32DC}"/>
            </c:ext>
          </c:extLst>
        </c:ser>
        <c:ser>
          <c:idx val="2"/>
          <c:order val="2"/>
          <c:tx>
            <c:strRef>
              <c:f>'Static Output Exhibits'!$E$41</c:f>
              <c:strCache>
                <c:ptCount val="1"/>
                <c:pt idx="0">
                  <c:v>Max</c:v>
                </c:pt>
              </c:strCache>
            </c:strRef>
          </c:tx>
          <c:spPr>
            <a:ln w="19050" cap="rnd">
              <a:noFill/>
              <a:round/>
            </a:ln>
            <a:effectLst/>
          </c:spPr>
          <c:marker>
            <c:symbol val="circle"/>
            <c:size val="5"/>
            <c:spPr>
              <a:solidFill>
                <a:schemeClr val="accent3"/>
              </a:solidFill>
              <a:ln w="9525">
                <a:solidFill>
                  <a:schemeClr val="accent3"/>
                </a:solidFill>
              </a:ln>
              <a:effectLst/>
            </c:spPr>
          </c:marker>
          <c:cat>
            <c:numRef>
              <c:f>'Static Output Exhibits'!$B$42:$B$44</c:f>
              <c:numCache>
                <c:formatCode>0.00%</c:formatCode>
                <c:ptCount val="3"/>
                <c:pt idx="0">
                  <c:v>4.4999999999999998E-2</c:v>
                </c:pt>
                <c:pt idx="1">
                  <c:v>4.7500000000000001E-2</c:v>
                </c:pt>
                <c:pt idx="2">
                  <c:v>0.05</c:v>
                </c:pt>
              </c:numCache>
            </c:numRef>
          </c:cat>
          <c:val>
            <c:numRef>
              <c:f>'Static Output Exhibits'!$E$42:$E$44</c:f>
              <c:numCache>
                <c:formatCode>"$"#,##0_);[Red]\("$"#,##0\)</c:formatCode>
                <c:ptCount val="3"/>
                <c:pt idx="0">
                  <c:v>25.381873096065295</c:v>
                </c:pt>
                <c:pt idx="1">
                  <c:v>-381.96683926260926</c:v>
                </c:pt>
                <c:pt idx="2">
                  <c:v>-748.58068038541705</c:v>
                </c:pt>
              </c:numCache>
            </c:numRef>
          </c:val>
          <c:smooth val="0"/>
          <c:extLst>
            <c:ext xmlns:c16="http://schemas.microsoft.com/office/drawing/2014/chart" uri="{C3380CC4-5D6E-409C-BE32-E72D297353CC}">
              <c16:uniqueId val="{00000000-77B0-4111-9DEA-46DC2EC904A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225095631"/>
        <c:axId val="1225098031"/>
      </c:stockChart>
      <c:catAx>
        <c:axId val="1225095631"/>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225098031"/>
        <c:crosses val="autoZero"/>
        <c:auto val="1"/>
        <c:lblAlgn val="ctr"/>
        <c:lblOffset val="100"/>
        <c:noMultiLvlLbl val="0"/>
      </c:catAx>
      <c:valAx>
        <c:axId val="1225098031"/>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25095631"/>
        <c:crosses val="autoZero"/>
        <c:crossBetween val="between"/>
      </c:valAx>
      <c:spPr>
        <a:noFill/>
        <a:ln>
          <a:noFill/>
        </a:ln>
        <a:effectLst/>
      </c:spPr>
    </c:plotArea>
    <c:legend>
      <c:legendPos val="b"/>
      <c:layout>
        <c:manualLayout>
          <c:xMode val="edge"/>
          <c:yMode val="edge"/>
          <c:x val="0.5444655899315014"/>
          <c:y val="0.82044004795763459"/>
          <c:w val="0.42750554342565278"/>
          <c:h val="7.07447825469115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FFFFFF"/>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US" sz="1050" b="1"/>
              <a:t>Residual Land Value per Square Foot</a:t>
            </a:r>
          </a:p>
        </c:rich>
      </c:tx>
      <c:layout>
        <c:manualLayout>
          <c:xMode val="edge"/>
          <c:yMode val="edge"/>
          <c:x val="1.2954597780540592E-2"/>
          <c:y val="2.7314279620864561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672514619883041"/>
          <c:y val="0.12805544582150455"/>
          <c:w val="0.85295989317124843"/>
          <c:h val="0.77199602012999602"/>
        </c:manualLayout>
      </c:layout>
      <c:stockChart>
        <c:ser>
          <c:idx val="0"/>
          <c:order val="0"/>
          <c:tx>
            <c:strRef>
              <c:f>'Static Output Exhibits'!$K$41</c:f>
              <c:strCache>
                <c:ptCount val="1"/>
                <c:pt idx="0">
                  <c:v>Baseline</c:v>
                </c:pt>
              </c:strCache>
            </c:strRef>
          </c:tx>
          <c:spPr>
            <a:ln w="25400" cap="rnd">
              <a:noFill/>
              <a:round/>
            </a:ln>
            <a:effectLst/>
          </c:spPr>
          <c:marker>
            <c:symbol val="circle"/>
            <c:size val="5"/>
            <c:spPr>
              <a:solidFill>
                <a:schemeClr val="accent1"/>
              </a:solidFill>
              <a:ln w="9525">
                <a:solidFill>
                  <a:schemeClr val="accent1"/>
                </a:solidFill>
              </a:ln>
              <a:effectLst/>
            </c:spPr>
          </c:marker>
          <c:cat>
            <c:numRef>
              <c:f>'Static Output Exhibits'!$J$42:$J$44</c:f>
              <c:numCache>
                <c:formatCode>0.00%</c:formatCode>
                <c:ptCount val="3"/>
                <c:pt idx="0">
                  <c:v>4.4999999999999998E-2</c:v>
                </c:pt>
                <c:pt idx="1">
                  <c:v>4.7500000000000001E-2</c:v>
                </c:pt>
                <c:pt idx="2">
                  <c:v>0.05</c:v>
                </c:pt>
              </c:numCache>
            </c:numRef>
          </c:cat>
          <c:val>
            <c:numRef>
              <c:f>'Static Output Exhibits'!$K$42:$K$44</c:f>
              <c:numCache>
                <c:formatCode>"$"#,##0_);[Red]\("$"#,##0\)</c:formatCode>
                <c:ptCount val="3"/>
                <c:pt idx="0">
                  <c:v>273.17299910394269</c:v>
                </c:pt>
                <c:pt idx="1">
                  <c:v>208.96185780984717</c:v>
                </c:pt>
                <c:pt idx="2">
                  <c:v>151.17183064516129</c:v>
                </c:pt>
              </c:numCache>
            </c:numRef>
          </c:val>
          <c:smooth val="0"/>
          <c:extLst>
            <c:ext xmlns:c16="http://schemas.microsoft.com/office/drawing/2014/chart" uri="{C3380CC4-5D6E-409C-BE32-E72D297353CC}">
              <c16:uniqueId val="{00000000-A13C-4B4C-9308-AAE05A571551}"/>
            </c:ext>
          </c:extLst>
        </c:ser>
        <c:ser>
          <c:idx val="1"/>
          <c:order val="1"/>
          <c:tx>
            <c:strRef>
              <c:f>'Static Output Exhibits'!$L$41</c:f>
              <c:strCache>
                <c:ptCount val="1"/>
                <c:pt idx="0">
                  <c:v>Base</c:v>
                </c:pt>
              </c:strCache>
            </c:strRef>
          </c:tx>
          <c:spPr>
            <a:ln w="25400" cap="rnd">
              <a:noFill/>
              <a:round/>
            </a:ln>
            <a:effectLst/>
          </c:spPr>
          <c:marker>
            <c:symbol val="circle"/>
            <c:size val="5"/>
            <c:spPr>
              <a:solidFill>
                <a:schemeClr val="accent2"/>
              </a:solidFill>
              <a:ln w="9525">
                <a:solidFill>
                  <a:schemeClr val="accent2"/>
                </a:solidFill>
              </a:ln>
              <a:effectLst/>
            </c:spPr>
          </c:marker>
          <c:cat>
            <c:numRef>
              <c:f>'Static Output Exhibits'!$J$42:$J$44</c:f>
              <c:numCache>
                <c:formatCode>0.00%</c:formatCode>
                <c:ptCount val="3"/>
                <c:pt idx="0">
                  <c:v>4.4999999999999998E-2</c:v>
                </c:pt>
                <c:pt idx="1">
                  <c:v>4.7500000000000001E-2</c:v>
                </c:pt>
                <c:pt idx="2">
                  <c:v>0.05</c:v>
                </c:pt>
              </c:numCache>
            </c:numRef>
          </c:cat>
          <c:val>
            <c:numRef>
              <c:f>'Static Output Exhibits'!$L$42:$L$44</c:f>
              <c:numCache>
                <c:formatCode>"$"#,##0_);[Red]\("$"#,##0\)</c:formatCode>
                <c:ptCount val="3"/>
                <c:pt idx="0">
                  <c:v>244.15468727598557</c:v>
                </c:pt>
                <c:pt idx="1">
                  <c:v>181.47082555178264</c:v>
                </c:pt>
                <c:pt idx="2">
                  <c:v>125.05534999999993</c:v>
                </c:pt>
              </c:numCache>
            </c:numRef>
          </c:val>
          <c:smooth val="0"/>
          <c:extLst>
            <c:ext xmlns:c16="http://schemas.microsoft.com/office/drawing/2014/chart" uri="{C3380CC4-5D6E-409C-BE32-E72D297353CC}">
              <c16:uniqueId val="{00000001-A13C-4B4C-9308-AAE05A571551}"/>
            </c:ext>
          </c:extLst>
        </c:ser>
        <c:ser>
          <c:idx val="2"/>
          <c:order val="2"/>
          <c:tx>
            <c:strRef>
              <c:f>'Static Output Exhibits'!$M$41</c:f>
              <c:strCache>
                <c:ptCount val="1"/>
                <c:pt idx="0">
                  <c:v>Max</c:v>
                </c:pt>
              </c:strCache>
            </c:strRef>
          </c:tx>
          <c:spPr>
            <a:ln w="25400" cap="rnd">
              <a:noFill/>
              <a:round/>
            </a:ln>
            <a:effectLst/>
          </c:spPr>
          <c:marker>
            <c:symbol val="circle"/>
            <c:size val="5"/>
            <c:spPr>
              <a:solidFill>
                <a:schemeClr val="accent3"/>
              </a:solidFill>
              <a:ln w="9525">
                <a:solidFill>
                  <a:schemeClr val="accent3"/>
                </a:solidFill>
              </a:ln>
              <a:effectLst/>
            </c:spPr>
          </c:marker>
          <c:cat>
            <c:numRef>
              <c:f>'Static Output Exhibits'!$J$42:$J$44</c:f>
              <c:numCache>
                <c:formatCode>0.00%</c:formatCode>
                <c:ptCount val="3"/>
                <c:pt idx="0">
                  <c:v>4.4999999999999998E-2</c:v>
                </c:pt>
                <c:pt idx="1">
                  <c:v>4.7500000000000001E-2</c:v>
                </c:pt>
                <c:pt idx="2">
                  <c:v>0.05</c:v>
                </c:pt>
              </c:numCache>
            </c:numRef>
          </c:cat>
          <c:val>
            <c:numRef>
              <c:f>'Static Output Exhibits'!$M$42:$M$44</c:f>
              <c:numCache>
                <c:formatCode>"$"#,##0_);[Red]\("$"#,##0\)</c:formatCode>
                <c:ptCount val="3"/>
                <c:pt idx="0">
                  <c:v>143.16669262432811</c:v>
                </c:pt>
                <c:pt idx="1">
                  <c:v>60.171154989919351</c:v>
                </c:pt>
                <c:pt idx="2">
                  <c:v>-14.524828881048387</c:v>
                </c:pt>
              </c:numCache>
            </c:numRef>
          </c:val>
          <c:smooth val="0"/>
          <c:extLst>
            <c:ext xmlns:c16="http://schemas.microsoft.com/office/drawing/2014/chart" uri="{C3380CC4-5D6E-409C-BE32-E72D297353CC}">
              <c16:uniqueId val="{00000000-6668-48C7-8FC4-349075A2F6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225095631"/>
        <c:axId val="1225098031"/>
      </c:stockChart>
      <c:catAx>
        <c:axId val="1225095631"/>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225098031"/>
        <c:crosses val="autoZero"/>
        <c:auto val="1"/>
        <c:lblAlgn val="ctr"/>
        <c:lblOffset val="100"/>
        <c:noMultiLvlLbl val="0"/>
      </c:catAx>
      <c:valAx>
        <c:axId val="1225098031"/>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25095631"/>
        <c:crosses val="autoZero"/>
        <c:crossBetween val="between"/>
      </c:valAx>
      <c:spPr>
        <a:noFill/>
        <a:ln>
          <a:noFill/>
        </a:ln>
        <a:effectLst/>
      </c:spPr>
    </c:plotArea>
    <c:legend>
      <c:legendPos val="b"/>
      <c:layout>
        <c:manualLayout>
          <c:xMode val="edge"/>
          <c:yMode val="edge"/>
          <c:x val="0.1468685124036915"/>
          <c:y val="0.8212584473855491"/>
          <c:w val="0.39435012558914001"/>
          <c:h val="7.081427913722478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FFFFFF"/>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US" sz="1050" b="1"/>
              <a:t>Residual Land Value per Square Foot</a:t>
            </a:r>
          </a:p>
        </c:rich>
      </c:tx>
      <c:layout>
        <c:manualLayout>
          <c:xMode val="edge"/>
          <c:yMode val="edge"/>
          <c:x val="1.3609452496196295E-2"/>
          <c:y val="7.9739428706677353E-3"/>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921729368398683"/>
          <c:y val="0.13572367463728868"/>
          <c:w val="0.82484474904734972"/>
          <c:h val="0.77199602012999602"/>
        </c:manualLayout>
      </c:layout>
      <c:stockChart>
        <c:ser>
          <c:idx val="0"/>
          <c:order val="0"/>
          <c:tx>
            <c:strRef>
              <c:f>'Static Output Exhibits'!$S$41</c:f>
              <c:strCache>
                <c:ptCount val="1"/>
                <c:pt idx="0">
                  <c:v>Baseline</c:v>
                </c:pt>
              </c:strCache>
            </c:strRef>
          </c:tx>
          <c:spPr>
            <a:ln w="25400" cap="rnd">
              <a:noFill/>
              <a:round/>
            </a:ln>
            <a:effectLst/>
          </c:spPr>
          <c:marker>
            <c:symbol val="circle"/>
            <c:size val="5"/>
            <c:spPr>
              <a:solidFill>
                <a:schemeClr val="accent1"/>
              </a:solidFill>
              <a:ln w="9525">
                <a:solidFill>
                  <a:schemeClr val="accent1"/>
                </a:solidFill>
              </a:ln>
              <a:effectLst/>
            </c:spPr>
          </c:marker>
          <c:cat>
            <c:numRef>
              <c:f>'Static Output Exhibits'!$R$42:$R$44</c:f>
              <c:numCache>
                <c:formatCode>0.00%</c:formatCode>
                <c:ptCount val="3"/>
                <c:pt idx="0">
                  <c:v>4.4999999999999998E-2</c:v>
                </c:pt>
                <c:pt idx="1">
                  <c:v>4.7500000000000001E-2</c:v>
                </c:pt>
                <c:pt idx="2">
                  <c:v>0.05</c:v>
                </c:pt>
              </c:numCache>
            </c:numRef>
          </c:cat>
          <c:val>
            <c:numRef>
              <c:f>'Static Output Exhibits'!$S$42:$S$44</c:f>
              <c:numCache>
                <c:formatCode>"$"#,##0_);[Red]\("$"#,##0\)</c:formatCode>
                <c:ptCount val="3"/>
                <c:pt idx="0">
                  <c:v>188.23544048431538</c:v>
                </c:pt>
                <c:pt idx="1">
                  <c:v>33.974807292139118</c:v>
                </c:pt>
                <c:pt idx="2">
                  <c:v>-104.85976258081897</c:v>
                </c:pt>
              </c:numCache>
            </c:numRef>
          </c:val>
          <c:smooth val="0"/>
          <c:extLst>
            <c:ext xmlns:c16="http://schemas.microsoft.com/office/drawing/2014/chart" uri="{C3380CC4-5D6E-409C-BE32-E72D297353CC}">
              <c16:uniqueId val="{00000000-7BA6-4BB3-9F31-0F5D298A4219}"/>
            </c:ext>
          </c:extLst>
        </c:ser>
        <c:ser>
          <c:idx val="1"/>
          <c:order val="1"/>
          <c:tx>
            <c:strRef>
              <c:f>'Static Output Exhibits'!$T$41</c:f>
              <c:strCache>
                <c:ptCount val="1"/>
                <c:pt idx="0">
                  <c:v>Base</c:v>
                </c:pt>
              </c:strCache>
            </c:strRef>
          </c:tx>
          <c:spPr>
            <a:ln w="25400" cap="rnd">
              <a:noFill/>
              <a:round/>
            </a:ln>
            <a:effectLst/>
          </c:spPr>
          <c:marker>
            <c:symbol val="circle"/>
            <c:size val="5"/>
            <c:spPr>
              <a:solidFill>
                <a:schemeClr val="accent2"/>
              </a:solidFill>
              <a:ln w="9525">
                <a:solidFill>
                  <a:schemeClr val="accent2"/>
                </a:solidFill>
              </a:ln>
              <a:effectLst/>
            </c:spPr>
          </c:marker>
          <c:cat>
            <c:numRef>
              <c:f>'Static Output Exhibits'!$R$42:$R$44</c:f>
              <c:numCache>
                <c:formatCode>0.00%</c:formatCode>
                <c:ptCount val="3"/>
                <c:pt idx="0">
                  <c:v>4.4999999999999998E-2</c:v>
                </c:pt>
                <c:pt idx="1">
                  <c:v>4.7500000000000001E-2</c:v>
                </c:pt>
                <c:pt idx="2">
                  <c:v>0.05</c:v>
                </c:pt>
              </c:numCache>
            </c:numRef>
          </c:cat>
          <c:val>
            <c:numRef>
              <c:f>'Static Output Exhibits'!$T$42:$T$44</c:f>
              <c:numCache>
                <c:formatCode>"$"#,##0_);[Red]\("$"#,##0\)</c:formatCode>
                <c:ptCount val="3"/>
                <c:pt idx="0">
                  <c:v>99.056953127993381</c:v>
                </c:pt>
                <c:pt idx="1">
                  <c:v>-50.510075466481162</c:v>
                </c:pt>
                <c:pt idx="2">
                  <c:v>-185.1204012015088</c:v>
                </c:pt>
              </c:numCache>
            </c:numRef>
          </c:val>
          <c:smooth val="0"/>
          <c:extLst>
            <c:ext xmlns:c16="http://schemas.microsoft.com/office/drawing/2014/chart" uri="{C3380CC4-5D6E-409C-BE32-E72D297353CC}">
              <c16:uniqueId val="{00000001-7BA6-4BB3-9F31-0F5D298A4219}"/>
            </c:ext>
          </c:extLst>
        </c:ser>
        <c:ser>
          <c:idx val="2"/>
          <c:order val="2"/>
          <c:tx>
            <c:strRef>
              <c:f>'Static Output Exhibits'!$U$41</c:f>
              <c:strCache>
                <c:ptCount val="1"/>
                <c:pt idx="0">
                  <c:v>Max</c:v>
                </c:pt>
              </c:strCache>
            </c:strRef>
          </c:tx>
          <c:spPr>
            <a:ln w="25400" cap="rnd">
              <a:noFill/>
              <a:round/>
            </a:ln>
            <a:effectLst/>
          </c:spPr>
          <c:marker>
            <c:symbol val="circle"/>
            <c:size val="5"/>
            <c:spPr>
              <a:solidFill>
                <a:schemeClr val="accent3"/>
              </a:solidFill>
              <a:ln w="9525">
                <a:solidFill>
                  <a:schemeClr val="accent3"/>
                </a:solidFill>
              </a:ln>
              <a:effectLst/>
            </c:spPr>
          </c:marker>
          <c:cat>
            <c:numRef>
              <c:f>'Static Output Exhibits'!$R$42:$R$44</c:f>
              <c:numCache>
                <c:formatCode>0.00%</c:formatCode>
                <c:ptCount val="3"/>
                <c:pt idx="0">
                  <c:v>4.4999999999999998E-2</c:v>
                </c:pt>
                <c:pt idx="1">
                  <c:v>4.7500000000000001E-2</c:v>
                </c:pt>
                <c:pt idx="2">
                  <c:v>0.05</c:v>
                </c:pt>
              </c:numCache>
            </c:numRef>
          </c:cat>
          <c:val>
            <c:numRef>
              <c:f>'Static Output Exhibits'!$U$42:$U$44</c:f>
              <c:numCache>
                <c:formatCode>"$"#,##0_);[Red]\("$"#,##0\)</c:formatCode>
                <c:ptCount val="3"/>
                <c:pt idx="0">
                  <c:v>-99.837180675287087</c:v>
                </c:pt>
                <c:pt idx="1">
                  <c:v>-313.61347952586209</c:v>
                </c:pt>
                <c:pt idx="2">
                  <c:v>-506.01214849137972</c:v>
                </c:pt>
              </c:numCache>
            </c:numRef>
          </c:val>
          <c:smooth val="0"/>
          <c:extLst>
            <c:ext xmlns:c16="http://schemas.microsoft.com/office/drawing/2014/chart" uri="{C3380CC4-5D6E-409C-BE32-E72D297353CC}">
              <c16:uniqueId val="{00000000-3522-4C11-9D2E-04A7D040268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225095631"/>
        <c:axId val="1225098031"/>
      </c:stockChart>
      <c:catAx>
        <c:axId val="1225095631"/>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225098031"/>
        <c:crosses val="autoZero"/>
        <c:auto val="1"/>
        <c:lblAlgn val="ctr"/>
        <c:lblOffset val="100"/>
        <c:noMultiLvlLbl val="0"/>
      </c:catAx>
      <c:valAx>
        <c:axId val="1225098031"/>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25095631"/>
        <c:crosses val="autoZero"/>
        <c:crossBetween val="between"/>
      </c:valAx>
      <c:spPr>
        <a:noFill/>
        <a:ln>
          <a:noFill/>
        </a:ln>
        <a:effectLst/>
      </c:spPr>
    </c:plotArea>
    <c:legend>
      <c:legendPos val="b"/>
      <c:layout>
        <c:manualLayout>
          <c:xMode val="edge"/>
          <c:yMode val="edge"/>
          <c:x val="0.1377384206796109"/>
          <c:y val="0.82531138921644454"/>
          <c:w val="0.43085586111825036"/>
          <c:h val="7.274724717381342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FFFFFF"/>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US" sz="1050" b="1"/>
              <a:t>Residual Land Value per Square Foot</a:t>
            </a:r>
          </a:p>
        </c:rich>
      </c:tx>
      <c:layout>
        <c:manualLayout>
          <c:xMode val="edge"/>
          <c:yMode val="edge"/>
          <c:x val="1.0667605611113604E-2"/>
          <c:y val="1.9476128285896632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48206182880719"/>
          <c:y val="0.12805544582150455"/>
          <c:w val="0.83044919121605187"/>
          <c:h val="0.77199602012999602"/>
        </c:manualLayout>
      </c:layout>
      <c:stockChart>
        <c:ser>
          <c:idx val="0"/>
          <c:order val="0"/>
          <c:tx>
            <c:strRef>
              <c:f>'Static Output Exhibits'!$AA$41</c:f>
              <c:strCache>
                <c:ptCount val="1"/>
                <c:pt idx="0">
                  <c:v>Baseline</c:v>
                </c:pt>
              </c:strCache>
            </c:strRef>
          </c:tx>
          <c:spPr>
            <a:ln w="25400" cap="rnd">
              <a:noFill/>
              <a:round/>
            </a:ln>
            <a:effectLst/>
          </c:spPr>
          <c:marker>
            <c:symbol val="circle"/>
            <c:size val="5"/>
            <c:spPr>
              <a:solidFill>
                <a:schemeClr val="accent1"/>
              </a:solidFill>
              <a:ln w="9525">
                <a:solidFill>
                  <a:schemeClr val="accent1"/>
                </a:solidFill>
              </a:ln>
              <a:effectLst/>
            </c:spPr>
          </c:marker>
          <c:cat>
            <c:numRef>
              <c:f>'Static Output Exhibits'!$Z$42:$Z$44</c:f>
              <c:numCache>
                <c:formatCode>0.00%</c:formatCode>
                <c:ptCount val="3"/>
                <c:pt idx="0">
                  <c:v>6.7500000000000004E-2</c:v>
                </c:pt>
                <c:pt idx="1">
                  <c:v>7.0000000000000007E-2</c:v>
                </c:pt>
                <c:pt idx="2">
                  <c:v>7.2500000000000009E-2</c:v>
                </c:pt>
              </c:numCache>
            </c:numRef>
          </c:cat>
          <c:val>
            <c:numRef>
              <c:f>'Static Output Exhibits'!$AA$42:$AA$44</c:f>
              <c:numCache>
                <c:formatCode>"$"#,##0_);[Red]\("$"#,##0\)</c:formatCode>
                <c:ptCount val="3"/>
                <c:pt idx="0">
                  <c:v>-739.10938711544213</c:v>
                </c:pt>
                <c:pt idx="1">
                  <c:v>-766.68806948444706</c:v>
                </c:pt>
                <c:pt idx="2">
                  <c:v>-792.3647737590378</c:v>
                </c:pt>
              </c:numCache>
            </c:numRef>
          </c:val>
          <c:smooth val="0"/>
          <c:extLst>
            <c:ext xmlns:c16="http://schemas.microsoft.com/office/drawing/2014/chart" uri="{C3380CC4-5D6E-409C-BE32-E72D297353CC}">
              <c16:uniqueId val="{00000000-7146-4E99-9824-0DEEADC9A13A}"/>
            </c:ext>
          </c:extLst>
        </c:ser>
        <c:ser>
          <c:idx val="1"/>
          <c:order val="1"/>
          <c:tx>
            <c:strRef>
              <c:f>'Static Output Exhibits'!$AB$41</c:f>
              <c:strCache>
                <c:ptCount val="1"/>
                <c:pt idx="0">
                  <c:v>Base</c:v>
                </c:pt>
              </c:strCache>
            </c:strRef>
          </c:tx>
          <c:spPr>
            <a:ln w="25400" cap="rnd">
              <a:noFill/>
              <a:round/>
            </a:ln>
            <a:effectLst/>
          </c:spPr>
          <c:marker>
            <c:symbol val="circle"/>
            <c:size val="5"/>
            <c:spPr>
              <a:noFill/>
              <a:ln w="9525">
                <a:solidFill>
                  <a:schemeClr val="accent2"/>
                </a:solidFill>
              </a:ln>
              <a:effectLst/>
            </c:spPr>
          </c:marker>
          <c:cat>
            <c:numRef>
              <c:f>'Static Output Exhibits'!$Z$42:$Z$44</c:f>
              <c:numCache>
                <c:formatCode>0.00%</c:formatCode>
                <c:ptCount val="3"/>
                <c:pt idx="0">
                  <c:v>6.7500000000000004E-2</c:v>
                </c:pt>
                <c:pt idx="1">
                  <c:v>7.0000000000000007E-2</c:v>
                </c:pt>
                <c:pt idx="2">
                  <c:v>7.2500000000000009E-2</c:v>
                </c:pt>
              </c:numCache>
            </c:numRef>
          </c:cat>
          <c:val>
            <c:numRef>
              <c:f>'Static Output Exhibits'!$AB$42:$AB$44</c:f>
              <c:numCache>
                <c:formatCode>"$"#,##0_);[Red]\("$"#,##0\)</c:formatCode>
                <c:ptCount val="3"/>
                <c:pt idx="0">
                  <c:v>-743.20263711544214</c:v>
                </c:pt>
                <c:pt idx="1">
                  <c:v>-770.78131948444707</c:v>
                </c:pt>
                <c:pt idx="2">
                  <c:v>-796.45802375903781</c:v>
                </c:pt>
              </c:numCache>
            </c:numRef>
          </c:val>
          <c:smooth val="0"/>
          <c:extLst>
            <c:ext xmlns:c16="http://schemas.microsoft.com/office/drawing/2014/chart" uri="{C3380CC4-5D6E-409C-BE32-E72D297353CC}">
              <c16:uniqueId val="{00000001-7146-4E99-9824-0DEEADC9A13A}"/>
            </c:ext>
          </c:extLst>
        </c:ser>
        <c:ser>
          <c:idx val="2"/>
          <c:order val="2"/>
          <c:tx>
            <c:strRef>
              <c:f>'Static Output Exhibits'!$AC$41</c:f>
              <c:strCache>
                <c:ptCount val="1"/>
                <c:pt idx="0">
                  <c:v>Max</c:v>
                </c:pt>
              </c:strCache>
            </c:strRef>
          </c:tx>
          <c:spPr>
            <a:ln w="25400" cap="rnd">
              <a:noFill/>
              <a:round/>
            </a:ln>
            <a:effectLst/>
          </c:spPr>
          <c:marker>
            <c:symbol val="circle"/>
            <c:size val="5"/>
            <c:spPr>
              <a:solidFill>
                <a:schemeClr val="accent3"/>
              </a:solidFill>
              <a:ln w="9525">
                <a:solidFill>
                  <a:schemeClr val="accent3"/>
                </a:solidFill>
              </a:ln>
              <a:effectLst/>
            </c:spPr>
          </c:marker>
          <c:cat>
            <c:numRef>
              <c:f>'Static Output Exhibits'!$Z$42:$Z$44</c:f>
              <c:numCache>
                <c:formatCode>0.00%</c:formatCode>
                <c:ptCount val="3"/>
                <c:pt idx="0">
                  <c:v>6.7500000000000004E-2</c:v>
                </c:pt>
                <c:pt idx="1">
                  <c:v>7.0000000000000007E-2</c:v>
                </c:pt>
                <c:pt idx="2">
                  <c:v>7.2500000000000009E-2</c:v>
                </c:pt>
              </c:numCache>
            </c:numRef>
          </c:cat>
          <c:val>
            <c:numRef>
              <c:f>'Static Output Exhibits'!$AC$42:$AC$44</c:f>
              <c:numCache>
                <c:formatCode>"$"#,##0_);[Red]\("$"#,##0\)</c:formatCode>
                <c:ptCount val="3"/>
                <c:pt idx="0">
                  <c:v>-1383.8834428670098</c:v>
                </c:pt>
                <c:pt idx="1">
                  <c:v>-1420.0286792554723</c:v>
                </c:pt>
                <c:pt idx="2">
                  <c:v>-1453.6811407205923</c:v>
                </c:pt>
              </c:numCache>
            </c:numRef>
          </c:val>
          <c:smooth val="0"/>
          <c:extLst>
            <c:ext xmlns:c16="http://schemas.microsoft.com/office/drawing/2014/chart" uri="{C3380CC4-5D6E-409C-BE32-E72D297353CC}">
              <c16:uniqueId val="{00000000-F60C-4B75-89E3-A2AB5C867BA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225095631"/>
        <c:axId val="1225098031"/>
      </c:stockChart>
      <c:catAx>
        <c:axId val="1225095631"/>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225098031"/>
        <c:crosses val="autoZero"/>
        <c:auto val="1"/>
        <c:lblAlgn val="ctr"/>
        <c:lblOffset val="100"/>
        <c:noMultiLvlLbl val="0"/>
      </c:catAx>
      <c:valAx>
        <c:axId val="1225098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25095631"/>
        <c:crosses val="autoZero"/>
        <c:crossBetween val="between"/>
      </c:valAx>
      <c:spPr>
        <a:noFill/>
        <a:ln>
          <a:noFill/>
        </a:ln>
        <a:effectLst/>
      </c:spPr>
    </c:plotArea>
    <c:legend>
      <c:legendPos val="b"/>
      <c:layout>
        <c:manualLayout>
          <c:xMode val="edge"/>
          <c:yMode val="edge"/>
          <c:x val="0.56383383905157403"/>
          <c:y val="0.13889205878250727"/>
          <c:w val="0.41570729787667376"/>
          <c:h val="7.274724717381342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FFFFFF"/>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US" sz="1050" b="1"/>
              <a:t>Residual Land Value per Square Foot</a:t>
            </a:r>
          </a:p>
        </c:rich>
      </c:tx>
      <c:layout>
        <c:manualLayout>
          <c:xMode val="edge"/>
          <c:yMode val="edge"/>
          <c:x val="1.3998173541190786E-2"/>
          <c:y val="1.9475949181703912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872941495809958"/>
          <c:y val="0.12805548545537179"/>
          <c:w val="0.8074493755765193"/>
          <c:h val="0.77199602012999602"/>
        </c:manualLayout>
      </c:layout>
      <c:stockChart>
        <c:ser>
          <c:idx val="0"/>
          <c:order val="0"/>
          <c:tx>
            <c:strRef>
              <c:f>'Static Output Exhibits'!$AI$41</c:f>
              <c:strCache>
                <c:ptCount val="1"/>
                <c:pt idx="0">
                  <c:v>Baseline</c:v>
                </c:pt>
              </c:strCache>
            </c:strRef>
          </c:tx>
          <c:spPr>
            <a:ln w="25400" cap="rnd">
              <a:noFill/>
              <a:round/>
            </a:ln>
            <a:effectLst/>
          </c:spPr>
          <c:marker>
            <c:symbol val="circle"/>
            <c:size val="5"/>
            <c:spPr>
              <a:solidFill>
                <a:schemeClr val="accent1"/>
              </a:solidFill>
              <a:ln w="9525">
                <a:solidFill>
                  <a:schemeClr val="accent1"/>
                </a:solidFill>
              </a:ln>
              <a:effectLst/>
            </c:spPr>
          </c:marker>
          <c:cat>
            <c:numRef>
              <c:f>'Static Output Exhibits'!$AH$42:$AH$44</c:f>
              <c:numCache>
                <c:formatCode>0.00%</c:formatCode>
                <c:ptCount val="3"/>
                <c:pt idx="0">
                  <c:v>6.7500000000000004E-2</c:v>
                </c:pt>
                <c:pt idx="1">
                  <c:v>7.0000000000000007E-2</c:v>
                </c:pt>
                <c:pt idx="2">
                  <c:v>7.2500000000000009E-2</c:v>
                </c:pt>
              </c:numCache>
            </c:numRef>
          </c:cat>
          <c:val>
            <c:numRef>
              <c:f>'Static Output Exhibits'!$AI$42:$AI$44</c:f>
              <c:numCache>
                <c:formatCode>"$"#,##0_);[Red]\("$"#,##0\)</c:formatCode>
                <c:ptCount val="3"/>
                <c:pt idx="0">
                  <c:v>-2041.5193011693807</c:v>
                </c:pt>
                <c:pt idx="1">
                  <c:v>-2099.8208762469212</c:v>
                </c:pt>
                <c:pt idx="2">
                  <c:v>-2154.1016530432521</c:v>
                </c:pt>
              </c:numCache>
            </c:numRef>
          </c:val>
          <c:smooth val="0"/>
          <c:extLst>
            <c:ext xmlns:c16="http://schemas.microsoft.com/office/drawing/2014/chart" uri="{C3380CC4-5D6E-409C-BE32-E72D297353CC}">
              <c16:uniqueId val="{00000000-384D-4669-B8E3-F717AE729A03}"/>
            </c:ext>
          </c:extLst>
        </c:ser>
        <c:ser>
          <c:idx val="1"/>
          <c:order val="1"/>
          <c:tx>
            <c:strRef>
              <c:f>'Static Output Exhibits'!$AJ$41</c:f>
              <c:strCache>
                <c:ptCount val="1"/>
                <c:pt idx="0">
                  <c:v>Base</c:v>
                </c:pt>
              </c:strCache>
            </c:strRef>
          </c:tx>
          <c:spPr>
            <a:ln w="25400" cap="rnd">
              <a:noFill/>
              <a:round/>
            </a:ln>
            <a:effectLst/>
          </c:spPr>
          <c:marker>
            <c:symbol val="circle"/>
            <c:size val="5"/>
            <c:spPr>
              <a:noFill/>
              <a:ln w="9525">
                <a:solidFill>
                  <a:schemeClr val="accent2"/>
                </a:solidFill>
              </a:ln>
              <a:effectLst/>
            </c:spPr>
          </c:marker>
          <c:cat>
            <c:numRef>
              <c:f>'Static Output Exhibits'!$AH$42:$AH$44</c:f>
              <c:numCache>
                <c:formatCode>0.00%</c:formatCode>
                <c:ptCount val="3"/>
                <c:pt idx="0">
                  <c:v>6.7500000000000004E-2</c:v>
                </c:pt>
                <c:pt idx="1">
                  <c:v>7.0000000000000007E-2</c:v>
                </c:pt>
                <c:pt idx="2">
                  <c:v>7.2500000000000009E-2</c:v>
                </c:pt>
              </c:numCache>
            </c:numRef>
          </c:cat>
          <c:val>
            <c:numRef>
              <c:f>'Static Output Exhibits'!$AJ$42:$AJ$44</c:f>
              <c:numCache>
                <c:formatCode>"$"#,##0_);[Red]\("$"#,##0\)</c:formatCode>
                <c:ptCount val="3"/>
                <c:pt idx="0">
                  <c:v>-2051.3431011693806</c:v>
                </c:pt>
                <c:pt idx="1">
                  <c:v>-2109.6446762469213</c:v>
                </c:pt>
                <c:pt idx="2">
                  <c:v>-2163.9254530432522</c:v>
                </c:pt>
              </c:numCache>
            </c:numRef>
          </c:val>
          <c:smooth val="0"/>
          <c:extLst>
            <c:ext xmlns:c16="http://schemas.microsoft.com/office/drawing/2014/chart" uri="{C3380CC4-5D6E-409C-BE32-E72D297353CC}">
              <c16:uniqueId val="{00000001-384D-4669-B8E3-F717AE729A03}"/>
            </c:ext>
          </c:extLst>
        </c:ser>
        <c:ser>
          <c:idx val="2"/>
          <c:order val="2"/>
          <c:tx>
            <c:strRef>
              <c:f>'Static Output Exhibits'!$AK$41</c:f>
              <c:strCache>
                <c:ptCount val="1"/>
                <c:pt idx="0">
                  <c:v>Max</c:v>
                </c:pt>
              </c:strCache>
            </c:strRef>
          </c:tx>
          <c:spPr>
            <a:ln w="25400" cap="rnd">
              <a:noFill/>
              <a:round/>
            </a:ln>
            <a:effectLst/>
          </c:spPr>
          <c:marker>
            <c:symbol val="circle"/>
            <c:size val="5"/>
            <c:spPr>
              <a:solidFill>
                <a:schemeClr val="accent3"/>
              </a:solidFill>
              <a:ln w="9525">
                <a:solidFill>
                  <a:schemeClr val="accent3"/>
                </a:solidFill>
              </a:ln>
              <a:effectLst/>
            </c:spPr>
          </c:marker>
          <c:cat>
            <c:numRef>
              <c:f>'Static Output Exhibits'!$AH$42:$AH$44</c:f>
              <c:numCache>
                <c:formatCode>0.00%</c:formatCode>
                <c:ptCount val="3"/>
                <c:pt idx="0">
                  <c:v>6.7500000000000004E-2</c:v>
                </c:pt>
                <c:pt idx="1">
                  <c:v>7.0000000000000007E-2</c:v>
                </c:pt>
                <c:pt idx="2">
                  <c:v>7.2500000000000009E-2</c:v>
                </c:pt>
              </c:numCache>
            </c:numRef>
          </c:cat>
          <c:val>
            <c:numRef>
              <c:f>'Static Output Exhibits'!$AK$42:$AK$44</c:f>
              <c:numCache>
                <c:formatCode>"$"#,##0_);[Red]\("$"#,##0\)</c:formatCode>
                <c:ptCount val="3"/>
                <c:pt idx="0">
                  <c:v>-3629.8642145802155</c:v>
                </c:pt>
                <c:pt idx="1">
                  <c:v>-3704.6123052570993</c:v>
                </c:pt>
                <c:pt idx="2">
                  <c:v>-3774.2053551976469</c:v>
                </c:pt>
              </c:numCache>
            </c:numRef>
          </c:val>
          <c:smooth val="0"/>
          <c:extLst>
            <c:ext xmlns:c16="http://schemas.microsoft.com/office/drawing/2014/chart" uri="{C3380CC4-5D6E-409C-BE32-E72D297353CC}">
              <c16:uniqueId val="{00000000-20C9-44D9-94F2-990759D836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225095631"/>
        <c:axId val="1225098031"/>
      </c:stockChart>
      <c:catAx>
        <c:axId val="1225095631"/>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225098031"/>
        <c:crosses val="autoZero"/>
        <c:auto val="1"/>
        <c:lblAlgn val="ctr"/>
        <c:lblOffset val="100"/>
        <c:noMultiLvlLbl val="0"/>
      </c:catAx>
      <c:valAx>
        <c:axId val="1225098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25095631"/>
        <c:crosses val="autoZero"/>
        <c:crossBetween val="between"/>
      </c:valAx>
      <c:spPr>
        <a:noFill/>
        <a:ln>
          <a:noFill/>
        </a:ln>
        <a:effectLst/>
      </c:spPr>
    </c:plotArea>
    <c:legend>
      <c:legendPos val="b"/>
      <c:layout>
        <c:manualLayout>
          <c:xMode val="edge"/>
          <c:yMode val="edge"/>
          <c:x val="0.55636074631775323"/>
          <c:y val="0.13167658861641604"/>
          <c:w val="0.41734652800301802"/>
          <c:h val="7.291498350577978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FFFFFF"/>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US" sz="1050" b="1"/>
              <a:t>Residual Land Value per Square Foot</a:t>
            </a:r>
          </a:p>
        </c:rich>
      </c:tx>
      <c:layout>
        <c:manualLayout>
          <c:xMode val="edge"/>
          <c:yMode val="edge"/>
          <c:x val="1.4443982410745451E-2"/>
          <c:y val="1.947620679172574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48206182880719"/>
          <c:y val="0.12805544582150455"/>
          <c:w val="0.82178312713409363"/>
          <c:h val="0.77199602012999602"/>
        </c:manualLayout>
      </c:layout>
      <c:stockChart>
        <c:ser>
          <c:idx val="0"/>
          <c:order val="0"/>
          <c:tx>
            <c:strRef>
              <c:f>'Static Output Exhibits_in-lieu'!$C$41</c:f>
              <c:strCache>
                <c:ptCount val="1"/>
                <c:pt idx="0">
                  <c:v>Baseline</c:v>
                </c:pt>
              </c:strCache>
            </c:strRef>
          </c:tx>
          <c:spPr>
            <a:ln w="25400" cap="rnd">
              <a:noFill/>
              <a:round/>
            </a:ln>
            <a:effectLst/>
          </c:spPr>
          <c:marker>
            <c:symbol val="circle"/>
            <c:size val="5"/>
            <c:spPr>
              <a:solidFill>
                <a:schemeClr val="accent1"/>
              </a:solidFill>
              <a:ln w="9525">
                <a:solidFill>
                  <a:schemeClr val="accent1"/>
                </a:solidFill>
              </a:ln>
              <a:effectLst/>
            </c:spPr>
          </c:marker>
          <c:cat>
            <c:numRef>
              <c:f>'Static Output Exhibits_in-lieu'!$B$42:$B$44</c:f>
              <c:numCache>
                <c:formatCode>0.00%</c:formatCode>
                <c:ptCount val="3"/>
                <c:pt idx="0">
                  <c:v>4.4999999999999998E-2</c:v>
                </c:pt>
                <c:pt idx="1">
                  <c:v>4.7500000000000001E-2</c:v>
                </c:pt>
                <c:pt idx="2">
                  <c:v>0.05</c:v>
                </c:pt>
              </c:numCache>
            </c:numRef>
          </c:cat>
          <c:val>
            <c:numRef>
              <c:f>'Static Output Exhibits_in-lieu'!$C$42:$C$44</c:f>
              <c:numCache>
                <c:formatCode>"$"#,##0_);[Red]\("$"#,##0\)</c:formatCode>
                <c:ptCount val="3"/>
                <c:pt idx="0">
                  <c:v>364.62169432870377</c:v>
                </c:pt>
                <c:pt idx="1">
                  <c:v>124.73497308113973</c:v>
                </c:pt>
                <c:pt idx="2">
                  <c:v>-91.163076041667239</c:v>
                </c:pt>
              </c:numCache>
            </c:numRef>
          </c:val>
          <c:smooth val="0"/>
          <c:extLst>
            <c:ext xmlns:c16="http://schemas.microsoft.com/office/drawing/2014/chart" uri="{C3380CC4-5D6E-409C-BE32-E72D297353CC}">
              <c16:uniqueId val="{00000000-0F73-486B-A0D5-1FEA32766E9A}"/>
            </c:ext>
          </c:extLst>
        </c:ser>
        <c:ser>
          <c:idx val="1"/>
          <c:order val="1"/>
          <c:tx>
            <c:strRef>
              <c:f>'Static Output Exhibits_in-lieu'!$D$41</c:f>
              <c:strCache>
                <c:ptCount val="1"/>
                <c:pt idx="0">
                  <c:v>Base</c:v>
                </c:pt>
              </c:strCache>
            </c:strRef>
          </c:tx>
          <c:spPr>
            <a:ln w="19050" cap="rnd">
              <a:noFill/>
              <a:round/>
            </a:ln>
            <a:effectLst/>
          </c:spPr>
          <c:marker>
            <c:symbol val="circle"/>
            <c:size val="5"/>
            <c:spPr>
              <a:solidFill>
                <a:schemeClr val="accent2"/>
              </a:solidFill>
              <a:ln w="9525">
                <a:solidFill>
                  <a:schemeClr val="accent2"/>
                </a:solidFill>
              </a:ln>
              <a:effectLst/>
            </c:spPr>
          </c:marker>
          <c:cat>
            <c:numRef>
              <c:f>'Static Output Exhibits_in-lieu'!$B$42:$B$44</c:f>
              <c:numCache>
                <c:formatCode>0.00%</c:formatCode>
                <c:ptCount val="3"/>
                <c:pt idx="0">
                  <c:v>4.4999999999999998E-2</c:v>
                </c:pt>
                <c:pt idx="1">
                  <c:v>4.7500000000000001E-2</c:v>
                </c:pt>
                <c:pt idx="2">
                  <c:v>0.05</c:v>
                </c:pt>
              </c:numCache>
            </c:numRef>
          </c:cat>
          <c:val>
            <c:numRef>
              <c:f>'Static Output Exhibits_in-lieu'!$D$42:$D$44</c:f>
              <c:numCache>
                <c:formatCode>"$"#,##0_);[Red]\("$"#,##0\)</c:formatCode>
                <c:ptCount val="3"/>
                <c:pt idx="0">
                  <c:v>344.94441793164469</c:v>
                </c:pt>
                <c:pt idx="1">
                  <c:v>105.05769668408064</c:v>
                </c:pt>
                <c:pt idx="2">
                  <c:v>-110.84035243872631</c:v>
                </c:pt>
              </c:numCache>
            </c:numRef>
          </c:val>
          <c:smooth val="0"/>
          <c:extLst>
            <c:ext xmlns:c16="http://schemas.microsoft.com/office/drawing/2014/chart" uri="{C3380CC4-5D6E-409C-BE32-E72D297353CC}">
              <c16:uniqueId val="{00000001-0F73-486B-A0D5-1FEA32766E9A}"/>
            </c:ext>
          </c:extLst>
        </c:ser>
        <c:ser>
          <c:idx val="2"/>
          <c:order val="2"/>
          <c:tx>
            <c:strRef>
              <c:f>'Static Output Exhibits_in-lieu'!$E$41</c:f>
              <c:strCache>
                <c:ptCount val="1"/>
                <c:pt idx="0">
                  <c:v>Max</c:v>
                </c:pt>
              </c:strCache>
            </c:strRef>
          </c:tx>
          <c:spPr>
            <a:ln w="19050" cap="rnd">
              <a:noFill/>
              <a:round/>
            </a:ln>
            <a:effectLst/>
          </c:spPr>
          <c:marker>
            <c:symbol val="circle"/>
            <c:size val="5"/>
            <c:spPr>
              <a:solidFill>
                <a:schemeClr val="accent3"/>
              </a:solidFill>
              <a:ln w="9525">
                <a:solidFill>
                  <a:schemeClr val="accent3"/>
                </a:solidFill>
              </a:ln>
              <a:effectLst/>
            </c:spPr>
          </c:marker>
          <c:cat>
            <c:numRef>
              <c:f>'Static Output Exhibits_in-lieu'!$B$42:$B$44</c:f>
              <c:numCache>
                <c:formatCode>0.00%</c:formatCode>
                <c:ptCount val="3"/>
                <c:pt idx="0">
                  <c:v>4.4999999999999998E-2</c:v>
                </c:pt>
                <c:pt idx="1">
                  <c:v>4.7500000000000001E-2</c:v>
                </c:pt>
                <c:pt idx="2">
                  <c:v>0.05</c:v>
                </c:pt>
              </c:numCache>
            </c:numRef>
          </c:cat>
          <c:val>
            <c:numRef>
              <c:f>'Static Output Exhibits_in-lieu'!$E$42:$E$44</c:f>
              <c:numCache>
                <c:formatCode>"$"#,##0_);[Red]\("$"#,##0\)</c:formatCode>
                <c:ptCount val="3"/>
                <c:pt idx="0">
                  <c:v>575.78027369757717</c:v>
                </c:pt>
                <c:pt idx="1">
                  <c:v>128.08288578334648</c:v>
                </c:pt>
                <c:pt idx="2">
                  <c:v>-274.84476333946048</c:v>
                </c:pt>
              </c:numCache>
            </c:numRef>
          </c:val>
          <c:smooth val="0"/>
          <c:extLst>
            <c:ext xmlns:c16="http://schemas.microsoft.com/office/drawing/2014/chart" uri="{C3380CC4-5D6E-409C-BE32-E72D297353CC}">
              <c16:uniqueId val="{00000002-0F73-486B-A0D5-1FEA32766E9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225095631"/>
        <c:axId val="1225098031"/>
      </c:stockChart>
      <c:catAx>
        <c:axId val="1225095631"/>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225098031"/>
        <c:crosses val="autoZero"/>
        <c:auto val="1"/>
        <c:lblAlgn val="ctr"/>
        <c:lblOffset val="100"/>
        <c:noMultiLvlLbl val="0"/>
      </c:catAx>
      <c:valAx>
        <c:axId val="1225098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25095631"/>
        <c:crosses val="autoZero"/>
        <c:crossBetween val="between"/>
      </c:valAx>
      <c:spPr>
        <a:noFill/>
        <a:ln>
          <a:noFill/>
        </a:ln>
        <a:effectLst/>
      </c:spPr>
    </c:plotArea>
    <c:legend>
      <c:legendPos val="b"/>
      <c:layout>
        <c:manualLayout>
          <c:xMode val="edge"/>
          <c:yMode val="edge"/>
          <c:x val="0.11444696969532536"/>
          <c:y val="0.8281360544877262"/>
          <c:w val="0.42750554342565278"/>
          <c:h val="7.07447825469115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FFFFFF"/>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US" sz="1050" b="1"/>
              <a:t>Residual Land Value per Square Foot</a:t>
            </a:r>
          </a:p>
        </c:rich>
      </c:tx>
      <c:layout>
        <c:manualLayout>
          <c:xMode val="edge"/>
          <c:yMode val="edge"/>
          <c:x val="1.2954597780540592E-2"/>
          <c:y val="2.7314279620864561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672514619883041"/>
          <c:y val="0.12805544582150455"/>
          <c:w val="0.85295989317124843"/>
          <c:h val="0.77199602012999602"/>
        </c:manualLayout>
      </c:layout>
      <c:stockChart>
        <c:ser>
          <c:idx val="0"/>
          <c:order val="0"/>
          <c:tx>
            <c:strRef>
              <c:f>'Static Output Exhibits_in-lieu'!$K$41</c:f>
              <c:strCache>
                <c:ptCount val="1"/>
                <c:pt idx="0">
                  <c:v>Baseline</c:v>
                </c:pt>
              </c:strCache>
            </c:strRef>
          </c:tx>
          <c:spPr>
            <a:ln w="25400" cap="rnd">
              <a:noFill/>
              <a:round/>
            </a:ln>
            <a:effectLst/>
          </c:spPr>
          <c:marker>
            <c:symbol val="circle"/>
            <c:size val="5"/>
            <c:spPr>
              <a:solidFill>
                <a:schemeClr val="accent1"/>
              </a:solidFill>
              <a:ln w="9525">
                <a:solidFill>
                  <a:schemeClr val="accent1"/>
                </a:solidFill>
              </a:ln>
              <a:effectLst/>
            </c:spPr>
          </c:marker>
          <c:cat>
            <c:numRef>
              <c:f>'Static Output Exhibits_in-lieu'!$J$42:$J$44</c:f>
              <c:numCache>
                <c:formatCode>0.00%</c:formatCode>
                <c:ptCount val="3"/>
                <c:pt idx="0">
                  <c:v>4.4999999999999998E-2</c:v>
                </c:pt>
                <c:pt idx="1">
                  <c:v>4.7500000000000001E-2</c:v>
                </c:pt>
                <c:pt idx="2">
                  <c:v>0.05</c:v>
                </c:pt>
              </c:numCache>
            </c:numRef>
          </c:cat>
          <c:val>
            <c:numRef>
              <c:f>'Static Output Exhibits_in-lieu'!$K$42:$K$44</c:f>
              <c:numCache>
                <c:formatCode>"$"#,##0_);[Red]\("$"#,##0\)</c:formatCode>
                <c:ptCount val="3"/>
                <c:pt idx="0">
                  <c:v>273.17299910394269</c:v>
                </c:pt>
                <c:pt idx="1">
                  <c:v>208.96185780984717</c:v>
                </c:pt>
                <c:pt idx="2">
                  <c:v>151.17183064516129</c:v>
                </c:pt>
              </c:numCache>
            </c:numRef>
          </c:val>
          <c:smooth val="0"/>
          <c:extLst>
            <c:ext xmlns:c16="http://schemas.microsoft.com/office/drawing/2014/chart" uri="{C3380CC4-5D6E-409C-BE32-E72D297353CC}">
              <c16:uniqueId val="{00000000-E2BD-4F05-A56F-66785C50727F}"/>
            </c:ext>
          </c:extLst>
        </c:ser>
        <c:ser>
          <c:idx val="1"/>
          <c:order val="1"/>
          <c:tx>
            <c:strRef>
              <c:f>'Static Output Exhibits_in-lieu'!$L$41</c:f>
              <c:strCache>
                <c:ptCount val="1"/>
                <c:pt idx="0">
                  <c:v>Base</c:v>
                </c:pt>
              </c:strCache>
            </c:strRef>
          </c:tx>
          <c:spPr>
            <a:ln w="25400" cap="rnd">
              <a:noFill/>
              <a:round/>
            </a:ln>
            <a:effectLst/>
          </c:spPr>
          <c:marker>
            <c:symbol val="circle"/>
            <c:size val="5"/>
            <c:spPr>
              <a:solidFill>
                <a:schemeClr val="accent2"/>
              </a:solidFill>
              <a:ln w="9525">
                <a:solidFill>
                  <a:schemeClr val="accent2"/>
                </a:solidFill>
              </a:ln>
              <a:effectLst/>
            </c:spPr>
          </c:marker>
          <c:cat>
            <c:numRef>
              <c:f>'Static Output Exhibits_in-lieu'!$J$42:$J$44</c:f>
              <c:numCache>
                <c:formatCode>0.00%</c:formatCode>
                <c:ptCount val="3"/>
                <c:pt idx="0">
                  <c:v>4.4999999999999998E-2</c:v>
                </c:pt>
                <c:pt idx="1">
                  <c:v>4.7500000000000001E-2</c:v>
                </c:pt>
                <c:pt idx="2">
                  <c:v>0.05</c:v>
                </c:pt>
              </c:numCache>
            </c:numRef>
          </c:cat>
          <c:val>
            <c:numRef>
              <c:f>'Static Output Exhibits_in-lieu'!$L$42:$L$44</c:f>
              <c:numCache>
                <c:formatCode>"$"#,##0_);[Red]\("$"#,##0\)</c:formatCode>
                <c:ptCount val="3"/>
                <c:pt idx="0">
                  <c:v>267.87138687819555</c:v>
                </c:pt>
                <c:pt idx="1">
                  <c:v>203.66024558410001</c:v>
                </c:pt>
                <c:pt idx="2">
                  <c:v>145.87021841941413</c:v>
                </c:pt>
              </c:numCache>
            </c:numRef>
          </c:val>
          <c:smooth val="0"/>
          <c:extLst>
            <c:ext xmlns:c16="http://schemas.microsoft.com/office/drawing/2014/chart" uri="{C3380CC4-5D6E-409C-BE32-E72D297353CC}">
              <c16:uniqueId val="{00000001-E2BD-4F05-A56F-66785C50727F}"/>
            </c:ext>
          </c:extLst>
        </c:ser>
        <c:ser>
          <c:idx val="2"/>
          <c:order val="2"/>
          <c:tx>
            <c:strRef>
              <c:f>'Static Output Exhibits_in-lieu'!$M$41</c:f>
              <c:strCache>
                <c:ptCount val="1"/>
                <c:pt idx="0">
                  <c:v>Max</c:v>
                </c:pt>
              </c:strCache>
            </c:strRef>
          </c:tx>
          <c:spPr>
            <a:ln w="25400" cap="rnd">
              <a:noFill/>
              <a:round/>
            </a:ln>
            <a:effectLst/>
          </c:spPr>
          <c:marker>
            <c:symbol val="circle"/>
            <c:size val="5"/>
            <c:spPr>
              <a:solidFill>
                <a:schemeClr val="accent3"/>
              </a:solidFill>
              <a:ln w="9525">
                <a:solidFill>
                  <a:schemeClr val="accent3"/>
                </a:solidFill>
              </a:ln>
              <a:effectLst/>
            </c:spPr>
          </c:marker>
          <c:cat>
            <c:numRef>
              <c:f>'Static Output Exhibits_in-lieu'!$J$42:$J$44</c:f>
              <c:numCache>
                <c:formatCode>0.00%</c:formatCode>
                <c:ptCount val="3"/>
                <c:pt idx="0">
                  <c:v>4.4999999999999998E-2</c:v>
                </c:pt>
                <c:pt idx="1">
                  <c:v>4.7500000000000001E-2</c:v>
                </c:pt>
                <c:pt idx="2">
                  <c:v>0.05</c:v>
                </c:pt>
              </c:numCache>
            </c:numRef>
          </c:cat>
          <c:val>
            <c:numRef>
              <c:f>'Static Output Exhibits_in-lieu'!$M$42:$M$44</c:f>
              <c:numCache>
                <c:formatCode>"$"#,##0_);[Red]\("$"#,##0\)</c:formatCode>
                <c:ptCount val="3"/>
                <c:pt idx="0">
                  <c:v>398.30733256410781</c:v>
                </c:pt>
                <c:pt idx="1">
                  <c:v>297.29862665956131</c:v>
                </c:pt>
                <c:pt idx="2">
                  <c:v>206.39079134546967</c:v>
                </c:pt>
              </c:numCache>
            </c:numRef>
          </c:val>
          <c:smooth val="0"/>
          <c:extLst>
            <c:ext xmlns:c16="http://schemas.microsoft.com/office/drawing/2014/chart" uri="{C3380CC4-5D6E-409C-BE32-E72D297353CC}">
              <c16:uniqueId val="{00000002-E2BD-4F05-A56F-66785C50727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225095631"/>
        <c:axId val="1225098031"/>
      </c:stockChart>
      <c:catAx>
        <c:axId val="1225095631"/>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225098031"/>
        <c:crosses val="autoZero"/>
        <c:auto val="1"/>
        <c:lblAlgn val="ctr"/>
        <c:lblOffset val="100"/>
        <c:noMultiLvlLbl val="0"/>
      </c:catAx>
      <c:valAx>
        <c:axId val="1225098031"/>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25095631"/>
        <c:crosses val="autoZero"/>
        <c:crossBetween val="between"/>
      </c:valAx>
      <c:spPr>
        <a:noFill/>
        <a:ln>
          <a:noFill/>
        </a:ln>
        <a:effectLst/>
      </c:spPr>
    </c:plotArea>
    <c:legend>
      <c:legendPos val="b"/>
      <c:layout>
        <c:manualLayout>
          <c:xMode val="edge"/>
          <c:yMode val="edge"/>
          <c:x val="0.12540506704444371"/>
          <c:y val="0.81740666400984618"/>
          <c:w val="0.39435012558914001"/>
          <c:h val="7.081427913722478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FFFFFF"/>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US" sz="1050" b="1"/>
              <a:t>Residual Land Value per Square Foot</a:t>
            </a:r>
          </a:p>
        </c:rich>
      </c:tx>
      <c:layout>
        <c:manualLayout>
          <c:xMode val="edge"/>
          <c:yMode val="edge"/>
          <c:x val="1.3609452496196295E-2"/>
          <c:y val="7.9739428706677353E-3"/>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921729368398683"/>
          <c:y val="0.13572367463728868"/>
          <c:w val="0.82484474904734972"/>
          <c:h val="0.77199602012999602"/>
        </c:manualLayout>
      </c:layout>
      <c:stockChart>
        <c:ser>
          <c:idx val="0"/>
          <c:order val="0"/>
          <c:tx>
            <c:strRef>
              <c:f>'Static Output Exhibits_in-lieu'!$S$41</c:f>
              <c:strCache>
                <c:ptCount val="1"/>
                <c:pt idx="0">
                  <c:v>Baseline</c:v>
                </c:pt>
              </c:strCache>
            </c:strRef>
          </c:tx>
          <c:spPr>
            <a:ln w="25400" cap="rnd">
              <a:noFill/>
              <a:round/>
            </a:ln>
            <a:effectLst/>
          </c:spPr>
          <c:marker>
            <c:symbol val="circle"/>
            <c:size val="5"/>
            <c:spPr>
              <a:solidFill>
                <a:schemeClr val="accent1"/>
              </a:solidFill>
              <a:ln w="9525">
                <a:solidFill>
                  <a:schemeClr val="accent1"/>
                </a:solidFill>
              </a:ln>
              <a:effectLst/>
            </c:spPr>
          </c:marker>
          <c:cat>
            <c:numRef>
              <c:f>'Static Output Exhibits_in-lieu'!$R$42:$R$44</c:f>
              <c:numCache>
                <c:formatCode>0.00%</c:formatCode>
                <c:ptCount val="3"/>
                <c:pt idx="0">
                  <c:v>4.4999999999999998E-2</c:v>
                </c:pt>
                <c:pt idx="1">
                  <c:v>4.7500000000000001E-2</c:v>
                </c:pt>
                <c:pt idx="2">
                  <c:v>0.05</c:v>
                </c:pt>
              </c:numCache>
            </c:numRef>
          </c:cat>
          <c:val>
            <c:numRef>
              <c:f>'Static Output Exhibits_in-lieu'!$S$42:$S$44</c:f>
              <c:numCache>
                <c:formatCode>"$"#,##0_);[Red]\("$"#,##0\)</c:formatCode>
                <c:ptCount val="3"/>
                <c:pt idx="0">
                  <c:v>188.23544048431538</c:v>
                </c:pt>
                <c:pt idx="1">
                  <c:v>33.974807292139118</c:v>
                </c:pt>
                <c:pt idx="2">
                  <c:v>-104.85976258081897</c:v>
                </c:pt>
              </c:numCache>
            </c:numRef>
          </c:val>
          <c:smooth val="0"/>
          <c:extLst>
            <c:ext xmlns:c16="http://schemas.microsoft.com/office/drawing/2014/chart" uri="{C3380CC4-5D6E-409C-BE32-E72D297353CC}">
              <c16:uniqueId val="{00000000-8BD6-468A-A72F-06C63B871BAB}"/>
            </c:ext>
          </c:extLst>
        </c:ser>
        <c:ser>
          <c:idx val="1"/>
          <c:order val="1"/>
          <c:tx>
            <c:strRef>
              <c:f>'Static Output Exhibits_in-lieu'!$T$41</c:f>
              <c:strCache>
                <c:ptCount val="1"/>
                <c:pt idx="0">
                  <c:v>Base</c:v>
                </c:pt>
              </c:strCache>
            </c:strRef>
          </c:tx>
          <c:spPr>
            <a:ln w="25400" cap="rnd">
              <a:noFill/>
              <a:round/>
            </a:ln>
            <a:effectLst/>
          </c:spPr>
          <c:marker>
            <c:symbol val="circle"/>
            <c:size val="5"/>
            <c:spPr>
              <a:solidFill>
                <a:schemeClr val="accent2"/>
              </a:solidFill>
              <a:ln w="9525">
                <a:solidFill>
                  <a:schemeClr val="accent2"/>
                </a:solidFill>
              </a:ln>
              <a:effectLst/>
            </c:spPr>
          </c:marker>
          <c:cat>
            <c:numRef>
              <c:f>'Static Output Exhibits_in-lieu'!$R$42:$R$44</c:f>
              <c:numCache>
                <c:formatCode>0.00%</c:formatCode>
                <c:ptCount val="3"/>
                <c:pt idx="0">
                  <c:v>4.4999999999999998E-2</c:v>
                </c:pt>
                <c:pt idx="1">
                  <c:v>4.7500000000000001E-2</c:v>
                </c:pt>
                <c:pt idx="2">
                  <c:v>0.05</c:v>
                </c:pt>
              </c:numCache>
            </c:numRef>
          </c:cat>
          <c:val>
            <c:numRef>
              <c:f>'Static Output Exhibits_in-lieu'!$T$42:$T$44</c:f>
              <c:numCache>
                <c:formatCode>"$"#,##0_);[Red]\("$"#,##0\)</c:formatCode>
                <c:ptCount val="3"/>
                <c:pt idx="0">
                  <c:v>175.76751104307544</c:v>
                </c:pt>
                <c:pt idx="1">
                  <c:v>21.506877850899205</c:v>
                </c:pt>
                <c:pt idx="2">
                  <c:v>-117.32769202205888</c:v>
                </c:pt>
              </c:numCache>
            </c:numRef>
          </c:val>
          <c:smooth val="0"/>
          <c:extLst>
            <c:ext xmlns:c16="http://schemas.microsoft.com/office/drawing/2014/chart" uri="{C3380CC4-5D6E-409C-BE32-E72D297353CC}">
              <c16:uniqueId val="{00000001-8BD6-468A-A72F-06C63B871BAB}"/>
            </c:ext>
          </c:extLst>
        </c:ser>
        <c:ser>
          <c:idx val="2"/>
          <c:order val="2"/>
          <c:tx>
            <c:strRef>
              <c:f>'Static Output Exhibits_in-lieu'!$U$41</c:f>
              <c:strCache>
                <c:ptCount val="1"/>
                <c:pt idx="0">
                  <c:v>Max</c:v>
                </c:pt>
              </c:strCache>
            </c:strRef>
          </c:tx>
          <c:spPr>
            <a:ln w="25400" cap="rnd">
              <a:noFill/>
              <a:round/>
            </a:ln>
            <a:effectLst/>
          </c:spPr>
          <c:marker>
            <c:symbol val="circle"/>
            <c:size val="5"/>
            <c:spPr>
              <a:solidFill>
                <a:schemeClr val="accent3"/>
              </a:solidFill>
              <a:ln w="9525">
                <a:solidFill>
                  <a:schemeClr val="accent3"/>
                </a:solidFill>
              </a:ln>
              <a:effectLst/>
            </c:spPr>
          </c:marker>
          <c:cat>
            <c:numRef>
              <c:f>'Static Output Exhibits_in-lieu'!$R$42:$R$44</c:f>
              <c:numCache>
                <c:formatCode>0.00%</c:formatCode>
                <c:ptCount val="3"/>
                <c:pt idx="0">
                  <c:v>4.4999999999999998E-2</c:v>
                </c:pt>
                <c:pt idx="1">
                  <c:v>4.7500000000000001E-2</c:v>
                </c:pt>
                <c:pt idx="2">
                  <c:v>0.05</c:v>
                </c:pt>
              </c:numCache>
            </c:numRef>
          </c:cat>
          <c:val>
            <c:numRef>
              <c:f>'Static Output Exhibits_in-lieu'!$U$42:$U$44</c:f>
              <c:numCache>
                <c:formatCode>"$"#,##0_);[Red]\("$"#,##0\)</c:formatCode>
                <c:ptCount val="3"/>
                <c:pt idx="0">
                  <c:v>273.05536496189791</c:v>
                </c:pt>
                <c:pt idx="1">
                  <c:v>33.14627199960659</c:v>
                </c:pt>
                <c:pt idx="2">
                  <c:v>-182.77191166645494</c:v>
                </c:pt>
              </c:numCache>
            </c:numRef>
          </c:val>
          <c:smooth val="0"/>
          <c:extLst>
            <c:ext xmlns:c16="http://schemas.microsoft.com/office/drawing/2014/chart" uri="{C3380CC4-5D6E-409C-BE32-E72D297353CC}">
              <c16:uniqueId val="{00000002-8BD6-468A-A72F-06C63B871BA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225095631"/>
        <c:axId val="1225098031"/>
      </c:stockChart>
      <c:catAx>
        <c:axId val="1225095631"/>
        <c:scaling>
          <c:orientation val="minMax"/>
        </c:scaling>
        <c:delete val="0"/>
        <c:axPos val="b"/>
        <c:numFmt formatCode="0.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225098031"/>
        <c:crosses val="autoZero"/>
        <c:auto val="1"/>
        <c:lblAlgn val="ctr"/>
        <c:lblOffset val="100"/>
        <c:noMultiLvlLbl val="0"/>
      </c:catAx>
      <c:valAx>
        <c:axId val="1225098031"/>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25095631"/>
        <c:crosses val="autoZero"/>
        <c:crossBetween val="between"/>
      </c:valAx>
      <c:spPr>
        <a:noFill/>
        <a:ln>
          <a:noFill/>
        </a:ln>
        <a:effectLst/>
      </c:spPr>
    </c:plotArea>
    <c:legend>
      <c:legendPos val="b"/>
      <c:layout>
        <c:manualLayout>
          <c:xMode val="edge"/>
          <c:yMode val="edge"/>
          <c:x val="0.12356748764338035"/>
          <c:y val="0.81380920380121569"/>
          <c:w val="0.43085586111825036"/>
          <c:h val="7.274724717381342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FFFFFF"/>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1</xdr:col>
      <xdr:colOff>15240</xdr:colOff>
      <xdr:row>9</xdr:row>
      <xdr:rowOff>57150</xdr:rowOff>
    </xdr:from>
    <xdr:to>
      <xdr:col>1</xdr:col>
      <xdr:colOff>1466215</xdr:colOff>
      <xdr:row>12</xdr:row>
      <xdr:rowOff>0</xdr:rowOff>
    </xdr:to>
    <xdr:pic>
      <xdr:nvPicPr>
        <xdr:cNvPr id="13" name="Picture 1" descr="A picture containing logo&#10;&#10;Description automatically generated">
          <a:extLst>
            <a:ext uri="{FF2B5EF4-FFF2-40B4-BE49-F238E27FC236}">
              <a16:creationId xmlns:a16="http://schemas.microsoft.com/office/drawing/2014/main" id="{F2A1DB40-41A5-CD50-8868-12F2A8AB01AA}"/>
            </a:ext>
          </a:extLst>
        </xdr:cNvPr>
        <xdr:cNvPicPr>
          <a:picLocks noChangeAspect="1"/>
        </xdr:cNvPicPr>
      </xdr:nvPicPr>
      <xdr:blipFill>
        <a:blip xmlns:r="http://schemas.openxmlformats.org/officeDocument/2006/relationships" r:embed="rId1"/>
        <a:stretch>
          <a:fillRect/>
        </a:stretch>
      </xdr:blipFill>
      <xdr:spPr>
        <a:xfrm>
          <a:off x="923925" y="1971675"/>
          <a:ext cx="1477645" cy="457200"/>
        </a:xfrm>
        <a:prstGeom prst="rect">
          <a:avLst/>
        </a:prstGeom>
      </xdr:spPr>
    </xdr:pic>
    <xdr:clientData/>
  </xdr:twoCellAnchor>
  <xdr:twoCellAnchor editAs="absolute">
    <xdr:from>
      <xdr:col>3</xdr:col>
      <xdr:colOff>0</xdr:colOff>
      <xdr:row>8</xdr:row>
      <xdr:rowOff>1</xdr:rowOff>
    </xdr:from>
    <xdr:to>
      <xdr:col>3</xdr:col>
      <xdr:colOff>1317625</xdr:colOff>
      <xdr:row>15</xdr:row>
      <xdr:rowOff>152401</xdr:rowOff>
    </xdr:to>
    <xdr:pic>
      <xdr:nvPicPr>
        <xdr:cNvPr id="12" name="Picture 10" descr="City of Bellevue Open Data">
          <a:extLst>
            <a:ext uri="{FF2B5EF4-FFF2-40B4-BE49-F238E27FC236}">
              <a16:creationId xmlns:a16="http://schemas.microsoft.com/office/drawing/2014/main" id="{D9EF1BD6-A32C-FC3B-A419-C0B6BA2218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71257" y="1774372"/>
          <a:ext cx="1313815" cy="1447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94297</xdr:colOff>
      <xdr:row>47</xdr:row>
      <xdr:rowOff>132396</xdr:rowOff>
    </xdr:from>
    <xdr:to>
      <xdr:col>6</xdr:col>
      <xdr:colOff>129540</xdr:colOff>
      <xdr:row>67</xdr:row>
      <xdr:rowOff>3809</xdr:rowOff>
    </xdr:to>
    <xdr:graphicFrame macro="">
      <xdr:nvGraphicFramePr>
        <xdr:cNvPr id="57" name="Chart 2">
          <a:extLst>
            <a:ext uri="{FF2B5EF4-FFF2-40B4-BE49-F238E27FC236}">
              <a16:creationId xmlns:a16="http://schemas.microsoft.com/office/drawing/2014/main" id="{6E1087CA-20FC-657F-639C-AFC86B1E6C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101917</xdr:colOff>
      <xdr:row>47</xdr:row>
      <xdr:rowOff>130492</xdr:rowOff>
    </xdr:from>
    <xdr:to>
      <xdr:col>14</xdr:col>
      <xdr:colOff>140017</xdr:colOff>
      <xdr:row>67</xdr:row>
      <xdr:rowOff>2476</xdr:rowOff>
    </xdr:to>
    <xdr:graphicFrame macro="">
      <xdr:nvGraphicFramePr>
        <xdr:cNvPr id="43" name="Chart 4">
          <a:extLst>
            <a:ext uri="{FF2B5EF4-FFF2-40B4-BE49-F238E27FC236}">
              <a16:creationId xmlns:a16="http://schemas.microsoft.com/office/drawing/2014/main" id="{8C8AB199-F654-43D0-83FE-D0FF1BE16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98106</xdr:colOff>
      <xdr:row>47</xdr:row>
      <xdr:rowOff>136207</xdr:rowOff>
    </xdr:from>
    <xdr:to>
      <xdr:col>22</xdr:col>
      <xdr:colOff>431481</xdr:colOff>
      <xdr:row>67</xdr:row>
      <xdr:rowOff>12001</xdr:rowOff>
    </xdr:to>
    <xdr:graphicFrame macro="">
      <xdr:nvGraphicFramePr>
        <xdr:cNvPr id="50" name="Chart 6">
          <a:extLst>
            <a:ext uri="{FF2B5EF4-FFF2-40B4-BE49-F238E27FC236}">
              <a16:creationId xmlns:a16="http://schemas.microsoft.com/office/drawing/2014/main" id="{2CAB3B10-DBEB-4D68-B812-8E7E23BAD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98106</xdr:colOff>
      <xdr:row>47</xdr:row>
      <xdr:rowOff>136207</xdr:rowOff>
    </xdr:from>
    <xdr:to>
      <xdr:col>29</xdr:col>
      <xdr:colOff>298131</xdr:colOff>
      <xdr:row>67</xdr:row>
      <xdr:rowOff>12001</xdr:rowOff>
    </xdr:to>
    <xdr:graphicFrame macro="">
      <xdr:nvGraphicFramePr>
        <xdr:cNvPr id="9" name="Chart 8">
          <a:extLst>
            <a:ext uri="{FF2B5EF4-FFF2-40B4-BE49-F238E27FC236}">
              <a16:creationId xmlns:a16="http://schemas.microsoft.com/office/drawing/2014/main" id="{A5B1314E-D9BA-4BE3-B074-A931E32E6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256222</xdr:colOff>
      <xdr:row>47</xdr:row>
      <xdr:rowOff>79056</xdr:rowOff>
    </xdr:from>
    <xdr:to>
      <xdr:col>37</xdr:col>
      <xdr:colOff>84772</xdr:colOff>
      <xdr:row>66</xdr:row>
      <xdr:rowOff>124395</xdr:rowOff>
    </xdr:to>
    <xdr:graphicFrame macro="">
      <xdr:nvGraphicFramePr>
        <xdr:cNvPr id="11" name="Chart 10">
          <a:extLst>
            <a:ext uri="{FF2B5EF4-FFF2-40B4-BE49-F238E27FC236}">
              <a16:creationId xmlns:a16="http://schemas.microsoft.com/office/drawing/2014/main" id="{FE36764D-7627-468C-8DED-66D531F5B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0.13884</cdr:x>
      <cdr:y>0.08004</cdr:y>
    </cdr:from>
    <cdr:to>
      <cdr:x>0.96445</cdr:x>
      <cdr:y>0.27734</cdr:y>
    </cdr:to>
    <cdr:sp macro="" textlink="">
      <cdr:nvSpPr>
        <cdr:cNvPr id="2" name="TextBox 5">
          <a:extLst xmlns:a="http://schemas.openxmlformats.org/drawingml/2006/main">
            <a:ext uri="{FF2B5EF4-FFF2-40B4-BE49-F238E27FC236}">
              <a16:creationId xmlns:a16="http://schemas.microsoft.com/office/drawing/2014/main" id="{761B191C-3F04-2F4A-1F1C-4B2533B75919}"/>
            </a:ext>
          </a:extLst>
        </cdr:cNvPr>
        <cdr:cNvSpPr txBox="1"/>
      </cdr:nvSpPr>
      <cdr:spPr>
        <a:xfrm xmlns:a="http://schemas.openxmlformats.org/drawingml/2006/main">
          <a:off x="629090" y="263844"/>
          <a:ext cx="3740874" cy="650437"/>
        </a:xfrm>
        <a:prstGeom xmlns:a="http://schemas.openxmlformats.org/drawingml/2006/main" prst="rect">
          <a:avLst/>
        </a:prstGeom>
        <a:solidFill xmlns:a="http://schemas.openxmlformats.org/drawingml/2006/main">
          <a:schemeClr val="bg1">
            <a:lumMod val="75000"/>
            <a:alpha val="2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0.61818</cdr:x>
      <cdr:y>0.15392</cdr:y>
    </cdr:from>
    <cdr:to>
      <cdr:x>0.99781</cdr:x>
      <cdr:y>0.22687</cdr:y>
    </cdr:to>
    <cdr:sp macro="" textlink="">
      <cdr:nvSpPr>
        <cdr:cNvPr id="3" name="TextBox 3">
          <a:extLst xmlns:a="http://schemas.openxmlformats.org/drawingml/2006/main">
            <a:ext uri="{FF2B5EF4-FFF2-40B4-BE49-F238E27FC236}">
              <a16:creationId xmlns:a16="http://schemas.microsoft.com/office/drawing/2014/main" id="{776B3C3E-9FE5-1EDB-551E-96FF5DDC9EB0}"/>
            </a:ext>
          </a:extLst>
        </cdr:cNvPr>
        <cdr:cNvSpPr txBox="1"/>
      </cdr:nvSpPr>
      <cdr:spPr>
        <a:xfrm xmlns:a="http://schemas.openxmlformats.org/drawingml/2006/main">
          <a:off x="2801000" y="507999"/>
          <a:ext cx="1720120" cy="24076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a:t>Observed Land Prices</a:t>
          </a:r>
        </a:p>
      </cdr:txBody>
    </cdr:sp>
  </cdr:relSizeAnchor>
</c:userShapes>
</file>

<file path=xl/drawings/drawing4.xml><?xml version="1.0" encoding="utf-8"?>
<c:userShapes xmlns:c="http://schemas.openxmlformats.org/drawingml/2006/chart">
  <cdr:relSizeAnchor xmlns:cdr="http://schemas.openxmlformats.org/drawingml/2006/chartDrawing">
    <cdr:from>
      <cdr:x>0.12573</cdr:x>
      <cdr:y>0.08638</cdr:y>
    </cdr:from>
    <cdr:to>
      <cdr:x>0.97961</cdr:x>
      <cdr:y>0.60059</cdr:y>
    </cdr:to>
    <cdr:sp macro="" textlink="">
      <cdr:nvSpPr>
        <cdr:cNvPr id="4" name="TextBox 5">
          <a:extLst xmlns:a="http://schemas.openxmlformats.org/drawingml/2006/main">
            <a:ext uri="{FF2B5EF4-FFF2-40B4-BE49-F238E27FC236}">
              <a16:creationId xmlns:a16="http://schemas.microsoft.com/office/drawing/2014/main" id="{C4756520-F852-4663-AA39-9642F5ABB94A}"/>
            </a:ext>
          </a:extLst>
        </cdr:cNvPr>
        <cdr:cNvSpPr txBox="1"/>
      </cdr:nvSpPr>
      <cdr:spPr>
        <a:xfrm xmlns:a="http://schemas.openxmlformats.org/drawingml/2006/main">
          <a:off x="556874" y="284799"/>
          <a:ext cx="3781941" cy="1695449"/>
        </a:xfrm>
        <a:prstGeom xmlns:a="http://schemas.openxmlformats.org/drawingml/2006/main" prst="rect">
          <a:avLst/>
        </a:prstGeom>
        <a:solidFill xmlns:a="http://schemas.openxmlformats.org/drawingml/2006/main">
          <a:schemeClr val="bg1">
            <a:lumMod val="75000"/>
            <a:alpha val="2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0.62062</cdr:x>
      <cdr:y>0.12518</cdr:y>
    </cdr:from>
    <cdr:to>
      <cdr:x>1</cdr:x>
      <cdr:y>0.1982</cdr:y>
    </cdr:to>
    <cdr:sp macro="" textlink="">
      <cdr:nvSpPr>
        <cdr:cNvPr id="5" name="TextBox 3">
          <a:extLst xmlns:a="http://schemas.openxmlformats.org/drawingml/2006/main">
            <a:ext uri="{FF2B5EF4-FFF2-40B4-BE49-F238E27FC236}">
              <a16:creationId xmlns:a16="http://schemas.microsoft.com/office/drawing/2014/main" id="{46D7CA52-4CCE-94B5-AD45-FFEE26744C7E}"/>
            </a:ext>
          </a:extLst>
        </cdr:cNvPr>
        <cdr:cNvSpPr txBox="1"/>
      </cdr:nvSpPr>
      <cdr:spPr>
        <a:xfrm xmlns:a="http://schemas.openxmlformats.org/drawingml/2006/main">
          <a:off x="2748804" y="412742"/>
          <a:ext cx="1680321" cy="2407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a:t>Observed Land Prices</a:t>
          </a:r>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0.0693</cdr:y>
    </cdr:from>
    <cdr:to>
      <cdr:x>0.94607</cdr:x>
      <cdr:y>0.3396</cdr:y>
    </cdr:to>
    <cdr:sp macro="" textlink="">
      <cdr:nvSpPr>
        <cdr:cNvPr id="2" name="TextBox 5">
          <a:extLst xmlns:a="http://schemas.openxmlformats.org/drawingml/2006/main">
            <a:ext uri="{FF2B5EF4-FFF2-40B4-BE49-F238E27FC236}">
              <a16:creationId xmlns:a16="http://schemas.microsoft.com/office/drawing/2014/main" id="{C4756520-F852-4663-AA39-9642F5ABB94A}"/>
            </a:ext>
          </a:extLst>
        </cdr:cNvPr>
        <cdr:cNvSpPr txBox="1"/>
      </cdr:nvSpPr>
      <cdr:spPr>
        <a:xfrm xmlns:a="http://schemas.openxmlformats.org/drawingml/2006/main">
          <a:off x="532841" y="229553"/>
          <a:ext cx="3718698" cy="895343"/>
        </a:xfrm>
        <a:prstGeom xmlns:a="http://schemas.openxmlformats.org/drawingml/2006/main" prst="rect">
          <a:avLst/>
        </a:prstGeom>
        <a:solidFill xmlns:a="http://schemas.openxmlformats.org/drawingml/2006/main">
          <a:schemeClr val="bg1">
            <a:lumMod val="75000"/>
            <a:alpha val="2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0.59385</cdr:x>
      <cdr:y>0.06134</cdr:y>
    </cdr:from>
    <cdr:to>
      <cdr:x>0.97256</cdr:x>
      <cdr:y>0.13403</cdr:y>
    </cdr:to>
    <cdr:sp macro="" textlink="">
      <cdr:nvSpPr>
        <cdr:cNvPr id="3" name="TextBox 3">
          <a:extLst xmlns:a="http://schemas.openxmlformats.org/drawingml/2006/main">
            <a:ext uri="{FF2B5EF4-FFF2-40B4-BE49-F238E27FC236}">
              <a16:creationId xmlns:a16="http://schemas.microsoft.com/office/drawing/2014/main" id="{103DD221-8387-7508-F8B4-EE8E0C9A0B5A}"/>
            </a:ext>
          </a:extLst>
        </cdr:cNvPr>
        <cdr:cNvSpPr txBox="1"/>
      </cdr:nvSpPr>
      <cdr:spPr>
        <a:xfrm xmlns:a="http://schemas.openxmlformats.org/drawingml/2006/main">
          <a:off x="2668700" y="203178"/>
          <a:ext cx="1701883" cy="2407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a:t>Observed Land Prices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98107</xdr:colOff>
      <xdr:row>47</xdr:row>
      <xdr:rowOff>136206</xdr:rowOff>
    </xdr:from>
    <xdr:to>
      <xdr:col>6</xdr:col>
      <xdr:colOff>133350</xdr:colOff>
      <xdr:row>66</xdr:row>
      <xdr:rowOff>171449</xdr:rowOff>
    </xdr:to>
    <xdr:graphicFrame macro="">
      <xdr:nvGraphicFramePr>
        <xdr:cNvPr id="2" name="Chart 2">
          <a:extLst>
            <a:ext uri="{FF2B5EF4-FFF2-40B4-BE49-F238E27FC236}">
              <a16:creationId xmlns:a16="http://schemas.microsoft.com/office/drawing/2014/main" id="{269E39C0-730A-4FDD-95A0-4B1E3071F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101917</xdr:colOff>
      <xdr:row>47</xdr:row>
      <xdr:rowOff>130492</xdr:rowOff>
    </xdr:from>
    <xdr:to>
      <xdr:col>14</xdr:col>
      <xdr:colOff>140017</xdr:colOff>
      <xdr:row>67</xdr:row>
      <xdr:rowOff>2476</xdr:rowOff>
    </xdr:to>
    <xdr:graphicFrame macro="">
      <xdr:nvGraphicFramePr>
        <xdr:cNvPr id="3" name="Chart 4">
          <a:extLst>
            <a:ext uri="{FF2B5EF4-FFF2-40B4-BE49-F238E27FC236}">
              <a16:creationId xmlns:a16="http://schemas.microsoft.com/office/drawing/2014/main" id="{495D6319-11EB-4899-B2FD-9B305536E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98106</xdr:colOff>
      <xdr:row>47</xdr:row>
      <xdr:rowOff>136207</xdr:rowOff>
    </xdr:from>
    <xdr:to>
      <xdr:col>22</xdr:col>
      <xdr:colOff>431481</xdr:colOff>
      <xdr:row>67</xdr:row>
      <xdr:rowOff>12001</xdr:rowOff>
    </xdr:to>
    <xdr:graphicFrame macro="">
      <xdr:nvGraphicFramePr>
        <xdr:cNvPr id="4" name="Chart 6">
          <a:extLst>
            <a:ext uri="{FF2B5EF4-FFF2-40B4-BE49-F238E27FC236}">
              <a16:creationId xmlns:a16="http://schemas.microsoft.com/office/drawing/2014/main" id="{FEFD7522-032E-48E9-8798-F04F89DF1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0.1161</cdr:x>
      <cdr:y>0.17634</cdr:y>
    </cdr:from>
    <cdr:to>
      <cdr:x>0.94171</cdr:x>
      <cdr:y>0.52554</cdr:y>
    </cdr:to>
    <cdr:sp macro="" textlink="">
      <cdr:nvSpPr>
        <cdr:cNvPr id="2" name="TextBox 5">
          <a:extLst xmlns:a="http://schemas.openxmlformats.org/drawingml/2006/main">
            <a:ext uri="{FF2B5EF4-FFF2-40B4-BE49-F238E27FC236}">
              <a16:creationId xmlns:a16="http://schemas.microsoft.com/office/drawing/2014/main" id="{761B191C-3F04-2F4A-1F1C-4B2533B75919}"/>
            </a:ext>
          </a:extLst>
        </cdr:cNvPr>
        <cdr:cNvSpPr txBox="1"/>
      </cdr:nvSpPr>
      <cdr:spPr>
        <a:xfrm xmlns:a="http://schemas.openxmlformats.org/drawingml/2006/main">
          <a:off x="534901" y="581979"/>
          <a:ext cx="3803786" cy="1152525"/>
        </a:xfrm>
        <a:prstGeom xmlns:a="http://schemas.openxmlformats.org/drawingml/2006/main" prst="rect">
          <a:avLst/>
        </a:prstGeom>
        <a:solidFill xmlns:a="http://schemas.openxmlformats.org/drawingml/2006/main">
          <a:schemeClr val="bg1">
            <a:lumMod val="75000"/>
            <a:alpha val="2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0.59878</cdr:x>
      <cdr:y>0.19282</cdr:y>
    </cdr:from>
    <cdr:to>
      <cdr:x>0.97841</cdr:x>
      <cdr:y>0.26577</cdr:y>
    </cdr:to>
    <cdr:sp macro="" textlink="">
      <cdr:nvSpPr>
        <cdr:cNvPr id="3" name="TextBox 3">
          <a:extLst xmlns:a="http://schemas.openxmlformats.org/drawingml/2006/main">
            <a:ext uri="{FF2B5EF4-FFF2-40B4-BE49-F238E27FC236}">
              <a16:creationId xmlns:a16="http://schemas.microsoft.com/office/drawing/2014/main" id="{776B3C3E-9FE5-1EDB-551E-96FF5DDC9EB0}"/>
            </a:ext>
          </a:extLst>
        </cdr:cNvPr>
        <cdr:cNvSpPr txBox="1"/>
      </cdr:nvSpPr>
      <cdr:spPr>
        <a:xfrm xmlns:a="http://schemas.openxmlformats.org/drawingml/2006/main">
          <a:off x="2758713" y="636372"/>
          <a:ext cx="1749048" cy="2407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a:t>Observed Land Prices</a:t>
          </a:r>
        </a:p>
      </cdr:txBody>
    </cdr:sp>
  </cdr:relSizeAnchor>
</c:userShapes>
</file>

<file path=xl/drawings/drawing8.xml><?xml version="1.0" encoding="utf-8"?>
<c:userShapes xmlns:c="http://schemas.openxmlformats.org/drawingml/2006/chart">
  <cdr:relSizeAnchor xmlns:cdr="http://schemas.openxmlformats.org/drawingml/2006/chartDrawing">
    <cdr:from>
      <cdr:x>0.12573</cdr:x>
      <cdr:y>0.09215</cdr:y>
    </cdr:from>
    <cdr:to>
      <cdr:x>0.97961</cdr:x>
      <cdr:y>0.69014</cdr:y>
    </cdr:to>
    <cdr:sp macro="" textlink="">
      <cdr:nvSpPr>
        <cdr:cNvPr id="4" name="TextBox 5">
          <a:extLst xmlns:a="http://schemas.openxmlformats.org/drawingml/2006/main">
            <a:ext uri="{FF2B5EF4-FFF2-40B4-BE49-F238E27FC236}">
              <a16:creationId xmlns:a16="http://schemas.microsoft.com/office/drawing/2014/main" id="{C4756520-F852-4663-AA39-9642F5ABB94A}"/>
            </a:ext>
          </a:extLst>
        </cdr:cNvPr>
        <cdr:cNvSpPr txBox="1"/>
      </cdr:nvSpPr>
      <cdr:spPr>
        <a:xfrm xmlns:a="http://schemas.openxmlformats.org/drawingml/2006/main">
          <a:off x="572442" y="303848"/>
          <a:ext cx="3887673" cy="1971664"/>
        </a:xfrm>
        <a:prstGeom xmlns:a="http://schemas.openxmlformats.org/drawingml/2006/main" prst="rect">
          <a:avLst/>
        </a:prstGeom>
        <a:solidFill xmlns:a="http://schemas.openxmlformats.org/drawingml/2006/main">
          <a:schemeClr val="bg1">
            <a:lumMod val="75000"/>
            <a:alpha val="2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0.63043</cdr:x>
      <cdr:y>0.13005</cdr:y>
    </cdr:from>
    <cdr:to>
      <cdr:x>1</cdr:x>
      <cdr:y>0.20307</cdr:y>
    </cdr:to>
    <cdr:sp macro="" textlink="">
      <cdr:nvSpPr>
        <cdr:cNvPr id="5" name="TextBox 3">
          <a:extLst xmlns:a="http://schemas.openxmlformats.org/drawingml/2006/main">
            <a:ext uri="{FF2B5EF4-FFF2-40B4-BE49-F238E27FC236}">
              <a16:creationId xmlns:a16="http://schemas.microsoft.com/office/drawing/2014/main" id="{46D7CA52-4CCE-94B5-AD45-FFEE26744C7E}"/>
            </a:ext>
          </a:extLst>
        </cdr:cNvPr>
        <cdr:cNvSpPr txBox="1"/>
      </cdr:nvSpPr>
      <cdr:spPr>
        <a:xfrm xmlns:a="http://schemas.openxmlformats.org/drawingml/2006/main">
          <a:off x="2870316" y="428810"/>
          <a:ext cx="1682634" cy="2407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a:t>Observed Land Prices</a:t>
          </a:r>
        </a:p>
      </cdr:txBody>
    </cdr:sp>
  </cdr:relSizeAnchor>
</c:userShapes>
</file>

<file path=xl/drawings/drawing9.xml><?xml version="1.0" encoding="utf-8"?>
<c:userShapes xmlns:c="http://schemas.openxmlformats.org/drawingml/2006/chart">
  <cdr:relSizeAnchor xmlns:cdr="http://schemas.openxmlformats.org/drawingml/2006/chartDrawing">
    <cdr:from>
      <cdr:x>0.11857</cdr:x>
      <cdr:y>0.07505</cdr:y>
    </cdr:from>
    <cdr:to>
      <cdr:x>0.94607</cdr:x>
      <cdr:y>0.44025</cdr:y>
    </cdr:to>
    <cdr:sp macro="" textlink="">
      <cdr:nvSpPr>
        <cdr:cNvPr id="2" name="TextBox 5">
          <a:extLst xmlns:a="http://schemas.openxmlformats.org/drawingml/2006/main">
            <a:ext uri="{FF2B5EF4-FFF2-40B4-BE49-F238E27FC236}">
              <a16:creationId xmlns:a16="http://schemas.microsoft.com/office/drawing/2014/main" id="{C4756520-F852-4663-AA39-9642F5ABB94A}"/>
            </a:ext>
          </a:extLst>
        </cdr:cNvPr>
        <cdr:cNvSpPr txBox="1"/>
      </cdr:nvSpPr>
      <cdr:spPr>
        <a:xfrm xmlns:a="http://schemas.openxmlformats.org/drawingml/2006/main">
          <a:off x="550911" y="248603"/>
          <a:ext cx="3844809" cy="1209687"/>
        </a:xfrm>
        <a:prstGeom xmlns:a="http://schemas.openxmlformats.org/drawingml/2006/main" prst="rect">
          <a:avLst/>
        </a:prstGeom>
        <a:solidFill xmlns:a="http://schemas.openxmlformats.org/drawingml/2006/main">
          <a:schemeClr val="bg1">
            <a:lumMod val="75000"/>
            <a:alpha val="2000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0.6041</cdr:x>
      <cdr:y>0.06709</cdr:y>
    </cdr:from>
    <cdr:to>
      <cdr:x>0.98281</cdr:x>
      <cdr:y>0.13978</cdr:y>
    </cdr:to>
    <cdr:sp macro="" textlink="">
      <cdr:nvSpPr>
        <cdr:cNvPr id="3" name="TextBox 3">
          <a:extLst xmlns:a="http://schemas.openxmlformats.org/drawingml/2006/main">
            <a:ext uri="{FF2B5EF4-FFF2-40B4-BE49-F238E27FC236}">
              <a16:creationId xmlns:a16="http://schemas.microsoft.com/office/drawing/2014/main" id="{103DD221-8387-7508-F8B4-EE8E0C9A0B5A}"/>
            </a:ext>
          </a:extLst>
        </cdr:cNvPr>
        <cdr:cNvSpPr txBox="1"/>
      </cdr:nvSpPr>
      <cdr:spPr>
        <a:xfrm xmlns:a="http://schemas.openxmlformats.org/drawingml/2006/main">
          <a:off x="2806827" y="222227"/>
          <a:ext cx="1759598" cy="2407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a:t>Observed Land Prices</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39C988-1B7B-4A77-BCF8-B8774995745C}" name="ARCH2022PreIncomes46" displayName="ARCH2022PreIncomes46" ref="A7:I25" totalsRowShown="0" headerRowDxfId="42" dataDxfId="41" tableBorderDxfId="40">
  <autoFilter ref="A7:I25" xr:uid="{8EABA806-471C-4F7C-82CA-13F0FE2A3E48}"/>
  <tableColumns count="9">
    <tableColumn id="1" xr3:uid="{17FF08D7-2C65-4247-B872-6187632F5918}" name="Percentage of AMI" dataDxfId="39"/>
    <tableColumn id="2" xr3:uid="{DA372248-DB62-4A5C-9EFD-1898F80E5C48}" name="1 person" dataDxfId="38">
      <calculatedColumnFormula>$C$2*A8*$B$28</calculatedColumnFormula>
    </tableColumn>
    <tableColumn id="3" xr3:uid="{8224384C-B6EA-4D32-8464-F0E7EAB1D18D}" name="2 persons" dataDxfId="37">
      <calculatedColumnFormula>$C$2*A8*$C$28</calculatedColumnFormula>
    </tableColumn>
    <tableColumn id="4" xr3:uid="{54BEEE4C-548A-4506-9339-01591E846805}" name="3 persons" dataDxfId="36">
      <calculatedColumnFormula>$C$2*A8*$D$28</calculatedColumnFormula>
    </tableColumn>
    <tableColumn id="5" xr3:uid="{D36E2686-D221-4595-A69A-7C9DCDB4F00F}" name="4 persons" dataDxfId="35">
      <calculatedColumnFormula>$C$2*A8</calculatedColumnFormula>
    </tableColumn>
    <tableColumn id="6" xr3:uid="{A1E3E8DF-5666-483D-85CA-53B973C7E9B7}" name="5 persons" dataDxfId="34">
      <calculatedColumnFormula>$C$2*A8*$F$28</calculatedColumnFormula>
    </tableColumn>
    <tableColumn id="7" xr3:uid="{B8546C72-A4EF-4B78-AA42-A481BC310672}" name="6 persons" dataDxfId="33">
      <calculatedColumnFormula>$C$2*A8*$G$28</calculatedColumnFormula>
    </tableColumn>
    <tableColumn id="8" xr3:uid="{F4860D2A-382A-400E-8E2B-7787EE05FABA}" name="7 persons" dataDxfId="32">
      <calculatedColumnFormula>$C$2*A8*$H$28</calculatedColumnFormula>
    </tableColumn>
    <tableColumn id="9" xr3:uid="{80E450A3-FC0D-4AD3-8ACC-F35AA7BD611E}" name="8 person" dataDxfId="31">
      <calculatedColumnFormula>$C$2*A8*$I$28</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F43A2-F354-4B70-9823-432C324B22E3}" name="Table44499067" displayName="Table44499067" ref="A80:F82" totalsRowShown="0" headerRowDxfId="30" dataDxfId="29" tableBorderDxfId="28">
  <autoFilter ref="A80:F82" xr:uid="{9577D997-A91E-4AE2-A109-772B71D11DF5}"/>
  <tableColumns count="6">
    <tableColumn id="1" xr3:uid="{94C00073-0741-4F83-8067-C8B75FB213A6}" name="Column1" dataDxfId="27"/>
    <tableColumn id="2" xr3:uid="{D15F7312-4213-4DF7-98E5-1436B391F601}" name="Studio" dataDxfId="26"/>
    <tableColumn id="3" xr3:uid="{F653E4BE-8789-40F1-BE6C-102595A0CE71}" name="1-Bedroom" dataDxfId="25"/>
    <tableColumn id="4" xr3:uid="{88FB2619-1E12-4D34-9E9E-7A5E6925714E}" name="2-Bedroom" dataDxfId="24"/>
    <tableColumn id="5" xr3:uid="{12976704-090C-41F9-ADC0-FD439CB8B2D3}" name="3-Bedroom" dataDxfId="23"/>
    <tableColumn id="6" xr3:uid="{B6FF12AD-D2BB-4A09-9EBD-D03CC900F8DE}" name="4-Bedroom" dataDxfId="22"/>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D9DA10-08E5-4406-93AB-BD7F74012CE9}" name="Table4448686970717273747577798081828384858687899188" displayName="Table4448686970717273747577798081828384858687899188" ref="A62:F72" totalsRowShown="0" headerRowDxfId="21" dataDxfId="20" tableBorderDxfId="19">
  <autoFilter ref="A62:F72" xr:uid="{A359BD78-1C08-4493-A219-D731A54500C3}"/>
  <tableColumns count="6">
    <tableColumn id="1" xr3:uid="{7B01665E-2BE1-433E-94EB-57EDB6B188AD}" name="Column1" dataDxfId="18"/>
    <tableColumn id="2" xr3:uid="{AE2AD0D3-6A41-4699-BA47-638212A67CD5}" name="Studio" dataDxfId="17"/>
    <tableColumn id="3" xr3:uid="{65C43A6C-7BCD-482B-ACDE-D22B3FAE10DC}" name="1-Bedroom" dataDxfId="16"/>
    <tableColumn id="4" xr3:uid="{1362A8F0-ED30-4A5A-A2CF-9EECEAD5541B}" name="2-Bedroom" dataDxfId="15"/>
    <tableColumn id="5" xr3:uid="{674C01A7-C56F-4878-B8D0-F0A32AB6D119}" name="3-Bedroom" dataDxfId="14"/>
    <tableColumn id="6" xr3:uid="{63100392-7162-4C30-B340-D037AF34266A}" name="4-Bedroom" dataDxfId="13"/>
  </tableColumns>
  <tableStyleInfo name="TableStyleLight18" showFirstColumn="0" showLastColumn="0" showRowStripes="1" showColumnStripes="0"/>
</table>
</file>

<file path=xl/theme/theme1.xml><?xml version="1.0" encoding="utf-8"?>
<a:theme xmlns:a="http://schemas.openxmlformats.org/drawingml/2006/main" name="CAI Theme">
  <a:themeElements>
    <a:clrScheme name="CAI Palette">
      <a:dk1>
        <a:sysClr val="windowText" lastClr="000000"/>
      </a:dk1>
      <a:lt1>
        <a:srgbClr val="F8F8F8"/>
      </a:lt1>
      <a:dk2>
        <a:srgbClr val="45546B"/>
      </a:dk2>
      <a:lt2>
        <a:srgbClr val="8A9BB4"/>
      </a:lt2>
      <a:accent1>
        <a:srgbClr val="49ADE1"/>
      </a:accent1>
      <a:accent2>
        <a:srgbClr val="492F88"/>
      </a:accent2>
      <a:accent3>
        <a:srgbClr val="D6DF32"/>
      </a:accent3>
      <a:accent4>
        <a:srgbClr val="70AD47"/>
      </a:accent4>
      <a:accent5>
        <a:srgbClr val="A57CD2"/>
      </a:accent5>
      <a:accent6>
        <a:srgbClr val="FFC000"/>
      </a:accent6>
      <a:hlink>
        <a:srgbClr val="49ADE1"/>
      </a:hlink>
      <a:folHlink>
        <a:srgbClr val="A57CD2"/>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27.xml.rels><?xml version="1.0" encoding="UTF-8" standalone="yes"?>
<Relationships xmlns="http://schemas.openxmlformats.org/package/2006/relationships"><Relationship Id="rId1" Type="http://schemas.openxmlformats.org/officeDocument/2006/relationships/hyperlink" Target="https://bellevuewa.gov/sites/default/files/media/pdf_document/permitfees_floor-area-ratio.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7DAF5-ECE3-4589-94DE-11C0C1094901}">
  <sheetPr codeName="Sheet1">
    <tabColor theme="9"/>
  </sheetPr>
  <dimension ref="B1:F27"/>
  <sheetViews>
    <sheetView tabSelected="1" workbookViewId="0">
      <selection activeCell="J14" sqref="J14"/>
    </sheetView>
  </sheetViews>
  <sheetFormatPr defaultColWidth="8.69921875" defaultRowHeight="13.8" x14ac:dyDescent="0.25"/>
  <cols>
    <col min="1" max="1" width="3.19921875" style="78" customWidth="1"/>
    <col min="2" max="6" width="25.09765625" style="78" customWidth="1"/>
    <col min="7" max="16384" width="8.69921875" style="78"/>
  </cols>
  <sheetData>
    <row r="1" spans="2:6" ht="14.4" thickBot="1" x14ac:dyDescent="0.3">
      <c r="B1" s="84"/>
      <c r="C1" s="84"/>
      <c r="D1" s="84"/>
      <c r="E1" s="84"/>
      <c r="F1" s="84"/>
    </row>
    <row r="2" spans="2:6" ht="23.4" x14ac:dyDescent="0.4">
      <c r="B2" s="589" t="s">
        <v>0</v>
      </c>
      <c r="C2" s="589"/>
      <c r="D2" s="589"/>
      <c r="E2" s="589"/>
      <c r="F2" s="589"/>
    </row>
    <row r="3" spans="2:6" ht="23.4" x14ac:dyDescent="0.4">
      <c r="B3" s="590" t="s">
        <v>1</v>
      </c>
      <c r="C3" s="590"/>
      <c r="D3" s="590"/>
      <c r="E3" s="590"/>
      <c r="F3" s="590"/>
    </row>
    <row r="4" spans="2:6" x14ac:dyDescent="0.25">
      <c r="B4" s="79"/>
    </row>
    <row r="5" spans="2:6" ht="23.4" x14ac:dyDescent="0.4">
      <c r="B5" s="591" t="s">
        <v>2</v>
      </c>
      <c r="C5" s="591"/>
      <c r="D5" s="591"/>
      <c r="E5" s="591"/>
      <c r="F5" s="591"/>
    </row>
    <row r="6" spans="2:6" x14ac:dyDescent="0.25">
      <c r="B6" s="592">
        <v>45512</v>
      </c>
      <c r="C6" s="592"/>
      <c r="D6" s="592"/>
      <c r="E6" s="592"/>
      <c r="F6" s="592"/>
    </row>
    <row r="8" spans="2:6" x14ac:dyDescent="0.25">
      <c r="B8" s="78" t="s">
        <v>3</v>
      </c>
      <c r="D8" s="78" t="s">
        <v>4</v>
      </c>
    </row>
    <row r="9" spans="2:6" x14ac:dyDescent="0.25">
      <c r="E9"/>
    </row>
    <row r="17" spans="2:6" ht="18.600000000000001" customHeight="1" x14ac:dyDescent="0.25">
      <c r="B17" s="587" t="s">
        <v>5</v>
      </c>
      <c r="C17" s="587"/>
      <c r="D17" s="587"/>
      <c r="E17" s="587"/>
      <c r="F17" s="587"/>
    </row>
    <row r="18" spans="2:6" ht="64.2" customHeight="1" x14ac:dyDescent="0.25">
      <c r="B18" s="586" t="s">
        <v>6</v>
      </c>
      <c r="C18" s="586"/>
      <c r="D18" s="586"/>
      <c r="E18" s="586"/>
      <c r="F18" s="586"/>
    </row>
    <row r="19" spans="2:6" ht="74.400000000000006" customHeight="1" x14ac:dyDescent="0.25">
      <c r="B19" s="586" t="s">
        <v>591</v>
      </c>
      <c r="C19" s="586"/>
      <c r="D19" s="586"/>
      <c r="E19" s="586"/>
      <c r="F19" s="586"/>
    </row>
    <row r="20" spans="2:6" x14ac:dyDescent="0.25">
      <c r="B20" s="588" t="s">
        <v>7</v>
      </c>
      <c r="C20" s="588"/>
      <c r="D20" s="588"/>
      <c r="E20" s="588"/>
      <c r="F20" s="588"/>
    </row>
    <row r="22" spans="2:6" ht="16.8" x14ac:dyDescent="0.25">
      <c r="B22" s="585" t="s">
        <v>8</v>
      </c>
      <c r="C22" s="585"/>
      <c r="D22" s="585"/>
      <c r="E22" s="585"/>
      <c r="F22" s="585"/>
    </row>
    <row r="23" spans="2:6" ht="39.6" customHeight="1" x14ac:dyDescent="0.25">
      <c r="B23" s="586" t="s">
        <v>9</v>
      </c>
      <c r="C23" s="586"/>
      <c r="D23" s="586"/>
      <c r="E23" s="586"/>
      <c r="F23" s="586"/>
    </row>
    <row r="24" spans="2:6" ht="16.8" x14ac:dyDescent="0.25">
      <c r="B24" s="585" t="s">
        <v>10</v>
      </c>
      <c r="C24" s="585"/>
      <c r="D24" s="585"/>
      <c r="E24" s="585"/>
      <c r="F24" s="585"/>
    </row>
    <row r="25" spans="2:6" x14ac:dyDescent="0.25">
      <c r="B25" s="586" t="s">
        <v>592</v>
      </c>
      <c r="C25" s="586"/>
      <c r="D25" s="586"/>
      <c r="E25" s="586"/>
      <c r="F25" s="586"/>
    </row>
    <row r="26" spans="2:6" x14ac:dyDescent="0.25">
      <c r="B26" s="586"/>
      <c r="C26" s="586"/>
      <c r="D26" s="586"/>
      <c r="E26" s="586"/>
      <c r="F26" s="586"/>
    </row>
    <row r="27" spans="2:6" x14ac:dyDescent="0.25">
      <c r="B27" s="586"/>
      <c r="C27" s="586"/>
      <c r="D27" s="586"/>
      <c r="E27" s="586"/>
      <c r="F27" s="586"/>
    </row>
  </sheetData>
  <mergeCells count="12">
    <mergeCell ref="B2:F2"/>
    <mergeCell ref="B3:F3"/>
    <mergeCell ref="B5:F5"/>
    <mergeCell ref="B6:F6"/>
    <mergeCell ref="B18:F18"/>
    <mergeCell ref="B24:F24"/>
    <mergeCell ref="B25:F27"/>
    <mergeCell ref="B23:F23"/>
    <mergeCell ref="B17:F17"/>
    <mergeCell ref="B22:F22"/>
    <mergeCell ref="B20:F20"/>
    <mergeCell ref="B19:F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88C56-67A6-4EF5-867E-6BF627AA1FDD}">
  <sheetPr codeName="Sheet2">
    <tabColor theme="9"/>
  </sheetPr>
  <dimension ref="B2:D42"/>
  <sheetViews>
    <sheetView workbookViewId="0">
      <selection activeCell="F15" sqref="E15:F15"/>
    </sheetView>
  </sheetViews>
  <sheetFormatPr defaultColWidth="8.69921875" defaultRowHeight="13.8" x14ac:dyDescent="0.25"/>
  <cols>
    <col min="1" max="1" width="2.8984375" style="78" customWidth="1"/>
    <col min="2" max="2" width="25" style="78" bestFit="1" customWidth="1"/>
    <col min="3" max="3" width="12.59765625" style="78" customWidth="1"/>
    <col min="4" max="4" width="89.3984375" style="82" customWidth="1"/>
    <col min="5" max="16384" width="8.69921875" style="78"/>
  </cols>
  <sheetData>
    <row r="2" spans="2:4" ht="16.8" x14ac:dyDescent="0.25">
      <c r="B2" s="585" t="s">
        <v>11</v>
      </c>
      <c r="C2" s="585"/>
      <c r="D2" s="585"/>
    </row>
    <row r="3" spans="2:4" s="80" customFormat="1" ht="30.6" customHeight="1" x14ac:dyDescent="0.25">
      <c r="B3" s="593" t="s">
        <v>593</v>
      </c>
      <c r="C3" s="593"/>
      <c r="D3" s="593"/>
    </row>
    <row r="4" spans="2:4" s="80" customFormat="1" x14ac:dyDescent="0.25">
      <c r="B4" s="472"/>
      <c r="C4" s="472"/>
      <c r="D4" s="472"/>
    </row>
    <row r="5" spans="2:4" s="80" customFormat="1" x14ac:dyDescent="0.25">
      <c r="B5" s="473" t="s">
        <v>12</v>
      </c>
      <c r="C5" s="210" t="s">
        <v>13</v>
      </c>
      <c r="D5" s="473"/>
    </row>
    <row r="6" spans="2:4" s="80" customFormat="1" x14ac:dyDescent="0.25">
      <c r="B6" s="473" t="s">
        <v>14</v>
      </c>
      <c r="C6" s="210" t="s">
        <v>15</v>
      </c>
      <c r="D6" s="473"/>
    </row>
    <row r="7" spans="2:4" s="80" customFormat="1" x14ac:dyDescent="0.25">
      <c r="B7" s="473" t="s">
        <v>16</v>
      </c>
      <c r="C7" s="210" t="s">
        <v>17</v>
      </c>
      <c r="D7" s="473"/>
    </row>
    <row r="8" spans="2:4" s="80" customFormat="1" x14ac:dyDescent="0.25">
      <c r="B8" s="473" t="s">
        <v>18</v>
      </c>
      <c r="C8" s="210" t="s">
        <v>19</v>
      </c>
      <c r="D8" s="473"/>
    </row>
    <row r="9" spans="2:4" s="80" customFormat="1" x14ac:dyDescent="0.25">
      <c r="B9" s="473" t="s">
        <v>20</v>
      </c>
      <c r="C9" s="210" t="s">
        <v>594</v>
      </c>
      <c r="D9" s="473"/>
    </row>
    <row r="10" spans="2:4" s="80" customFormat="1" x14ac:dyDescent="0.25">
      <c r="B10" s="472"/>
      <c r="C10" s="472"/>
      <c r="D10" s="472"/>
    </row>
    <row r="11" spans="2:4" x14ac:dyDescent="0.25">
      <c r="B11" s="65" t="s">
        <v>21</v>
      </c>
      <c r="C11" s="65" t="s">
        <v>22</v>
      </c>
      <c r="D11" s="66" t="s">
        <v>23</v>
      </c>
    </row>
    <row r="12" spans="2:4" x14ac:dyDescent="0.25">
      <c r="B12" s="67" t="s">
        <v>24</v>
      </c>
      <c r="C12" s="68"/>
      <c r="D12" s="69"/>
    </row>
    <row r="13" spans="2:4" x14ac:dyDescent="0.25">
      <c r="B13" s="80" t="s">
        <v>25</v>
      </c>
      <c r="C13" s="80" t="s">
        <v>26</v>
      </c>
      <c r="D13" s="81" t="s">
        <v>27</v>
      </c>
    </row>
    <row r="14" spans="2:4" x14ac:dyDescent="0.25">
      <c r="B14" s="208" t="s">
        <v>28</v>
      </c>
      <c r="C14" s="208" t="s">
        <v>26</v>
      </c>
      <c r="D14" s="209" t="s">
        <v>29</v>
      </c>
    </row>
    <row r="15" spans="2:4" x14ac:dyDescent="0.25">
      <c r="B15" s="78" t="s">
        <v>30</v>
      </c>
      <c r="C15" s="78" t="s">
        <v>26</v>
      </c>
      <c r="D15" s="78" t="s">
        <v>595</v>
      </c>
    </row>
    <row r="16" spans="2:4" ht="27.6" x14ac:dyDescent="0.25">
      <c r="B16" s="208" t="s">
        <v>31</v>
      </c>
      <c r="C16" s="208" t="s">
        <v>26</v>
      </c>
      <c r="D16" s="569" t="s">
        <v>32</v>
      </c>
    </row>
    <row r="17" spans="2:4" x14ac:dyDescent="0.25">
      <c r="B17" s="80" t="s">
        <v>33</v>
      </c>
      <c r="C17" s="80" t="s">
        <v>26</v>
      </c>
      <c r="D17" s="81" t="s">
        <v>34</v>
      </c>
    </row>
    <row r="18" spans="2:4" ht="27.6" x14ac:dyDescent="0.25">
      <c r="B18" s="208" t="s">
        <v>35</v>
      </c>
      <c r="C18" s="208" t="s">
        <v>26</v>
      </c>
      <c r="D18" s="569" t="s">
        <v>596</v>
      </c>
    </row>
    <row r="19" spans="2:4" x14ac:dyDescent="0.25">
      <c r="B19" s="80"/>
      <c r="C19" s="80"/>
      <c r="D19" s="81"/>
    </row>
    <row r="20" spans="2:4" x14ac:dyDescent="0.25">
      <c r="B20" s="474" t="s">
        <v>36</v>
      </c>
      <c r="C20" s="198"/>
      <c r="D20" s="199"/>
    </row>
    <row r="21" spans="2:4" ht="27.6" x14ac:dyDescent="0.25">
      <c r="B21" s="80" t="s">
        <v>37</v>
      </c>
      <c r="C21" s="80" t="s">
        <v>38</v>
      </c>
      <c r="D21" s="81" t="s">
        <v>39</v>
      </c>
    </row>
    <row r="22" spans="2:4" x14ac:dyDescent="0.25">
      <c r="B22" s="477" t="s">
        <v>40</v>
      </c>
      <c r="C22" s="477" t="s">
        <v>38</v>
      </c>
      <c r="D22" s="478" t="s">
        <v>597</v>
      </c>
    </row>
    <row r="23" spans="2:4" x14ac:dyDescent="0.25">
      <c r="B23" s="80" t="s">
        <v>41</v>
      </c>
      <c r="C23" s="80" t="s">
        <v>38</v>
      </c>
      <c r="D23" s="81" t="s">
        <v>598</v>
      </c>
    </row>
    <row r="24" spans="2:4" x14ac:dyDescent="0.25">
      <c r="B24" s="475" t="s">
        <v>42</v>
      </c>
      <c r="C24" s="475" t="s">
        <v>38</v>
      </c>
      <c r="D24" s="476" t="s">
        <v>599</v>
      </c>
    </row>
    <row r="25" spans="2:4" x14ac:dyDescent="0.25">
      <c r="B25" s="80"/>
      <c r="C25" s="80"/>
      <c r="D25" s="81"/>
    </row>
    <row r="26" spans="2:4" x14ac:dyDescent="0.25">
      <c r="B26" s="70" t="s">
        <v>43</v>
      </c>
      <c r="C26" s="70"/>
      <c r="D26" s="71"/>
    </row>
    <row r="27" spans="2:4" x14ac:dyDescent="0.25">
      <c r="B27" s="80" t="s">
        <v>44</v>
      </c>
      <c r="C27" s="80" t="s">
        <v>26</v>
      </c>
      <c r="D27" s="81" t="s">
        <v>45</v>
      </c>
    </row>
    <row r="28" spans="2:4" x14ac:dyDescent="0.25">
      <c r="B28" s="479" t="s">
        <v>46</v>
      </c>
      <c r="C28" s="479" t="s">
        <v>26</v>
      </c>
      <c r="D28" s="480" t="s">
        <v>47</v>
      </c>
    </row>
    <row r="29" spans="2:4" x14ac:dyDescent="0.25">
      <c r="B29" s="80" t="s">
        <v>48</v>
      </c>
      <c r="C29" s="80" t="s">
        <v>26</v>
      </c>
      <c r="D29" s="81" t="s">
        <v>49</v>
      </c>
    </row>
    <row r="30" spans="2:4" x14ac:dyDescent="0.25">
      <c r="B30" s="80"/>
      <c r="C30" s="80"/>
      <c r="D30" s="81"/>
    </row>
    <row r="31" spans="2:4" x14ac:dyDescent="0.25">
      <c r="B31" s="72" t="s">
        <v>50</v>
      </c>
      <c r="C31" s="72"/>
      <c r="D31" s="73"/>
    </row>
    <row r="32" spans="2:4" x14ac:dyDescent="0.25">
      <c r="B32" s="80" t="s">
        <v>51</v>
      </c>
      <c r="C32" s="80" t="s">
        <v>52</v>
      </c>
      <c r="D32" s="81" t="s">
        <v>598</v>
      </c>
    </row>
    <row r="33" spans="2:4" x14ac:dyDescent="0.25">
      <c r="B33" s="74" t="s">
        <v>53</v>
      </c>
      <c r="C33" s="74" t="s">
        <v>26</v>
      </c>
      <c r="D33" s="75" t="s">
        <v>54</v>
      </c>
    </row>
    <row r="34" spans="2:4" x14ac:dyDescent="0.25">
      <c r="B34" s="80" t="s">
        <v>55</v>
      </c>
      <c r="C34" s="80" t="s">
        <v>26</v>
      </c>
      <c r="D34" s="81" t="s">
        <v>600</v>
      </c>
    </row>
    <row r="35" spans="2:4" x14ac:dyDescent="0.25">
      <c r="B35" s="74" t="s">
        <v>56</v>
      </c>
      <c r="C35" s="74" t="s">
        <v>26</v>
      </c>
      <c r="D35" s="75" t="s">
        <v>57</v>
      </c>
    </row>
    <row r="36" spans="2:4" x14ac:dyDescent="0.25">
      <c r="B36" s="80"/>
      <c r="C36" s="80"/>
      <c r="D36" s="81"/>
    </row>
    <row r="37" spans="2:4" x14ac:dyDescent="0.25">
      <c r="B37" s="85" t="s">
        <v>58</v>
      </c>
      <c r="C37" s="85"/>
      <c r="D37" s="86"/>
    </row>
    <row r="38" spans="2:4" x14ac:dyDescent="0.25">
      <c r="B38" s="80" t="s">
        <v>59</v>
      </c>
      <c r="C38" s="80" t="s">
        <v>26</v>
      </c>
      <c r="D38" s="81" t="s">
        <v>60</v>
      </c>
    </row>
    <row r="39" spans="2:4" x14ac:dyDescent="0.25">
      <c r="B39" s="76" t="s">
        <v>61</v>
      </c>
      <c r="C39" s="76" t="s">
        <v>26</v>
      </c>
      <c r="D39" s="77" t="s">
        <v>62</v>
      </c>
    </row>
    <row r="40" spans="2:4" x14ac:dyDescent="0.25">
      <c r="B40" s="80" t="s">
        <v>63</v>
      </c>
      <c r="C40" s="80" t="s">
        <v>26</v>
      </c>
      <c r="D40" s="81" t="s">
        <v>64</v>
      </c>
    </row>
    <row r="41" spans="2:4" x14ac:dyDescent="0.25">
      <c r="B41" s="76" t="s">
        <v>65</v>
      </c>
      <c r="C41" s="76" t="s">
        <v>26</v>
      </c>
      <c r="D41" s="77" t="s">
        <v>66</v>
      </c>
    </row>
    <row r="42" spans="2:4" x14ac:dyDescent="0.25">
      <c r="B42" s="80" t="s">
        <v>67</v>
      </c>
      <c r="C42" s="80" t="s">
        <v>26</v>
      </c>
      <c r="D42" s="82" t="s">
        <v>68</v>
      </c>
    </row>
  </sheetData>
  <mergeCells count="2">
    <mergeCell ref="B2:D2"/>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0CE6-C3A4-480B-AE0F-8B56B16EF754}">
  <sheetPr codeName="Sheet3">
    <tabColor theme="6"/>
  </sheetPr>
  <dimension ref="B2:E12"/>
  <sheetViews>
    <sheetView workbookViewId="0"/>
  </sheetViews>
  <sheetFormatPr defaultColWidth="8.69921875" defaultRowHeight="13.8" x14ac:dyDescent="0.25"/>
  <cols>
    <col min="1" max="1" width="8.69921875" style="133"/>
    <col min="2" max="2" width="3.5" style="133" customWidth="1"/>
    <col min="3" max="3" width="100.3984375" style="133" bestFit="1" customWidth="1"/>
    <col min="4" max="4" width="30.69921875" style="133" bestFit="1" customWidth="1"/>
    <col min="5" max="5" width="36.8984375" style="133" bestFit="1" customWidth="1"/>
    <col min="6" max="16384" width="8.69921875" style="133"/>
  </cols>
  <sheetData>
    <row r="2" spans="2:5" x14ac:dyDescent="0.25">
      <c r="B2" s="133" t="s">
        <v>69</v>
      </c>
      <c r="D2" s="153" t="s">
        <v>70</v>
      </c>
      <c r="E2" s="153" t="s">
        <v>71</v>
      </c>
    </row>
    <row r="3" spans="2:5" x14ac:dyDescent="0.25">
      <c r="C3" s="133" t="s">
        <v>72</v>
      </c>
      <c r="D3" s="133" t="s">
        <v>73</v>
      </c>
      <c r="E3" s="133" t="s">
        <v>74</v>
      </c>
    </row>
    <row r="4" spans="2:5" x14ac:dyDescent="0.25">
      <c r="C4" s="133" t="s">
        <v>75</v>
      </c>
      <c r="D4" s="133" t="s">
        <v>76</v>
      </c>
      <c r="E4" s="133" t="s">
        <v>77</v>
      </c>
    </row>
    <row r="5" spans="2:5" x14ac:dyDescent="0.25">
      <c r="C5" s="133" t="s">
        <v>78</v>
      </c>
      <c r="D5" s="133" t="s">
        <v>79</v>
      </c>
      <c r="E5" s="133" t="s">
        <v>80</v>
      </c>
    </row>
    <row r="6" spans="2:5" x14ac:dyDescent="0.25">
      <c r="C6" s="133" t="s">
        <v>81</v>
      </c>
      <c r="D6" s="133" t="s">
        <v>82</v>
      </c>
      <c r="E6" s="133" t="s">
        <v>83</v>
      </c>
    </row>
    <row r="7" spans="2:5" x14ac:dyDescent="0.25">
      <c r="C7" s="133" t="s">
        <v>84</v>
      </c>
      <c r="D7" s="133" t="s">
        <v>76</v>
      </c>
      <c r="E7" s="133" t="s">
        <v>85</v>
      </c>
    </row>
    <row r="9" spans="2:5" x14ac:dyDescent="0.25">
      <c r="B9" s="133" t="s">
        <v>86</v>
      </c>
    </row>
    <row r="10" spans="2:5" x14ac:dyDescent="0.25">
      <c r="C10" s="133" t="s">
        <v>87</v>
      </c>
    </row>
    <row r="11" spans="2:5" x14ac:dyDescent="0.25">
      <c r="C11" s="133" t="s">
        <v>88</v>
      </c>
    </row>
    <row r="12" spans="2:5" x14ac:dyDescent="0.25">
      <c r="C12" s="133"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136DA-8E30-487C-9D3E-D4DF5CB572C0}">
  <sheetPr codeName="Sheet16">
    <tabColor rgb="FF9A0000"/>
  </sheetPr>
  <dimension ref="B2:O69"/>
  <sheetViews>
    <sheetView zoomScale="90" zoomScaleNormal="90" workbookViewId="0">
      <selection activeCell="I65" sqref="I65"/>
    </sheetView>
  </sheetViews>
  <sheetFormatPr defaultColWidth="8.69921875" defaultRowHeight="13.8" x14ac:dyDescent="0.25"/>
  <cols>
    <col min="1" max="2" width="2.19921875" style="483" customWidth="1"/>
    <col min="3" max="3" width="31.3984375" style="483" customWidth="1"/>
    <col min="4" max="4" width="22.69921875" style="483" customWidth="1"/>
    <col min="5" max="5" width="16" style="483" customWidth="1"/>
    <col min="6" max="6" width="18.5" style="483" customWidth="1"/>
    <col min="7" max="7" width="14" style="483" customWidth="1"/>
    <col min="8" max="8" width="10.19921875" style="483" customWidth="1"/>
    <col min="9" max="12" width="8.69921875" style="483"/>
    <col min="13" max="14" width="11.19921875" style="483" customWidth="1"/>
    <col min="15" max="15" width="13.3984375" style="483" customWidth="1"/>
    <col min="16" max="16384" width="8.69921875" style="483"/>
  </cols>
  <sheetData>
    <row r="2" spans="2:15" ht="18" thickBot="1" x14ac:dyDescent="0.35">
      <c r="C2" s="594" t="s">
        <v>90</v>
      </c>
      <c r="D2" s="594"/>
      <c r="E2" s="594"/>
      <c r="F2" s="481"/>
      <c r="G2" s="481"/>
      <c r="H2" s="482"/>
      <c r="I2" s="482"/>
      <c r="J2" s="482"/>
      <c r="K2" s="482"/>
      <c r="L2" s="482"/>
      <c r="M2" s="482"/>
      <c r="N2" s="482"/>
      <c r="O2" s="482"/>
    </row>
    <row r="3" spans="2:15" ht="7.2" customHeight="1" x14ac:dyDescent="0.25">
      <c r="C3" s="484"/>
      <c r="D3" s="484"/>
      <c r="E3" s="485"/>
      <c r="F3" s="484"/>
      <c r="G3" s="484"/>
    </row>
    <row r="4" spans="2:15" x14ac:dyDescent="0.25">
      <c r="B4" s="567">
        <v>1</v>
      </c>
      <c r="C4" s="309" t="s">
        <v>91</v>
      </c>
      <c r="D4" s="309"/>
      <c r="E4" s="486"/>
      <c r="F4" s="309"/>
      <c r="G4" s="309"/>
      <c r="H4" s="250"/>
      <c r="I4" s="250"/>
      <c r="J4" s="250"/>
      <c r="K4" s="250"/>
      <c r="L4" s="250"/>
      <c r="M4" s="250"/>
      <c r="N4" s="250"/>
      <c r="O4" s="250"/>
    </row>
    <row r="5" spans="2:15" ht="6.75" customHeight="1" x14ac:dyDescent="0.25">
      <c r="C5" s="484"/>
      <c r="D5" s="484"/>
      <c r="E5" s="485"/>
      <c r="F5" s="484"/>
      <c r="G5" s="484"/>
    </row>
    <row r="6" spans="2:15" x14ac:dyDescent="0.25">
      <c r="C6" s="596" t="s">
        <v>92</v>
      </c>
      <c r="D6" s="596"/>
      <c r="E6" s="596"/>
      <c r="F6" s="596"/>
      <c r="G6" s="596"/>
      <c r="H6" s="596"/>
      <c r="I6" s="596"/>
      <c r="J6" s="596"/>
      <c r="K6" s="596"/>
      <c r="L6" s="596"/>
      <c r="M6" s="596"/>
      <c r="N6" s="596"/>
      <c r="O6" s="596"/>
    </row>
    <row r="7" spans="2:15" x14ac:dyDescent="0.25">
      <c r="C7" s="596"/>
      <c r="D7" s="596"/>
      <c r="E7" s="596"/>
      <c r="F7" s="596"/>
      <c r="G7" s="596"/>
      <c r="H7" s="596"/>
      <c r="I7" s="596"/>
      <c r="J7" s="596"/>
      <c r="K7" s="596"/>
      <c r="L7" s="596"/>
      <c r="M7" s="596"/>
      <c r="N7" s="596"/>
      <c r="O7" s="596"/>
    </row>
    <row r="8" spans="2:15" x14ac:dyDescent="0.25">
      <c r="C8" s="487"/>
      <c r="D8" s="487"/>
      <c r="E8" s="488"/>
      <c r="F8" s="487"/>
      <c r="G8" s="487"/>
      <c r="H8" s="489"/>
      <c r="I8" s="489"/>
      <c r="J8" s="489"/>
      <c r="K8" s="489"/>
      <c r="L8" s="489"/>
      <c r="M8" s="489"/>
      <c r="N8" s="489"/>
      <c r="O8" s="489"/>
    </row>
    <row r="9" spans="2:15" x14ac:dyDescent="0.25">
      <c r="B9" s="567">
        <v>2</v>
      </c>
      <c r="C9" s="492" t="s">
        <v>93</v>
      </c>
      <c r="D9" s="490"/>
      <c r="E9" s="490"/>
      <c r="F9" s="490"/>
      <c r="G9" s="490"/>
      <c r="H9" s="490"/>
      <c r="I9" s="490"/>
      <c r="J9" s="490"/>
      <c r="K9" s="490"/>
      <c r="L9" s="490"/>
      <c r="M9" s="490"/>
      <c r="N9" s="490"/>
      <c r="O9" s="490"/>
    </row>
    <row r="10" spans="2:15" ht="7.5" customHeight="1" x14ac:dyDescent="0.25">
      <c r="C10" s="489"/>
      <c r="D10" s="489"/>
      <c r="E10" s="489"/>
      <c r="F10" s="489"/>
      <c r="G10" s="489"/>
      <c r="H10" s="489"/>
      <c r="I10" s="489"/>
      <c r="J10" s="489"/>
      <c r="K10" s="489"/>
      <c r="L10" s="489"/>
      <c r="M10" s="489"/>
      <c r="N10" s="489"/>
      <c r="O10" s="489"/>
    </row>
    <row r="11" spans="2:15" x14ac:dyDescent="0.25">
      <c r="C11" s="493" t="s">
        <v>94</v>
      </c>
      <c r="D11" s="494"/>
      <c r="E11" s="494"/>
      <c r="F11" s="494"/>
      <c r="G11" s="489"/>
      <c r="H11" s="489"/>
      <c r="I11" s="489"/>
      <c r="J11" s="489"/>
      <c r="K11" s="489"/>
      <c r="L11" s="489"/>
      <c r="M11" s="489"/>
      <c r="N11" s="489"/>
      <c r="O11" s="489"/>
    </row>
    <row r="12" spans="2:15" x14ac:dyDescent="0.25">
      <c r="C12" s="415" t="s">
        <v>95</v>
      </c>
      <c r="D12" s="494" t="s">
        <v>96</v>
      </c>
      <c r="E12" s="494"/>
      <c r="F12" s="494"/>
      <c r="G12" s="489"/>
      <c r="H12" s="489"/>
      <c r="I12" s="489"/>
      <c r="J12" s="489"/>
      <c r="K12" s="489"/>
      <c r="L12" s="489"/>
      <c r="M12" s="489"/>
      <c r="N12" s="489"/>
      <c r="O12" s="489"/>
    </row>
    <row r="13" spans="2:15" x14ac:dyDescent="0.25">
      <c r="C13" s="495" t="s">
        <v>601</v>
      </c>
      <c r="D13" s="494" t="s">
        <v>602</v>
      </c>
      <c r="E13" s="494"/>
      <c r="F13" s="494"/>
      <c r="G13" s="489"/>
      <c r="H13" s="489"/>
      <c r="I13" s="489"/>
      <c r="J13" s="489"/>
      <c r="K13" s="489"/>
      <c r="L13" s="489"/>
      <c r="M13" s="489"/>
      <c r="N13" s="489"/>
      <c r="O13" s="489"/>
    </row>
    <row r="14" spans="2:15" x14ac:dyDescent="0.25">
      <c r="C14" s="489"/>
      <c r="D14" s="489"/>
      <c r="E14" s="489"/>
      <c r="F14" s="489"/>
      <c r="G14" s="489"/>
      <c r="H14" s="489"/>
      <c r="I14" s="489"/>
      <c r="J14" s="489"/>
      <c r="K14" s="489"/>
      <c r="L14" s="489"/>
      <c r="M14" s="489"/>
      <c r="N14" s="489"/>
      <c r="O14" s="489"/>
    </row>
    <row r="15" spans="2:15" x14ac:dyDescent="0.25">
      <c r="C15" s="494" t="s">
        <v>97</v>
      </c>
      <c r="D15" s="494"/>
      <c r="E15" s="489"/>
      <c r="F15" s="489"/>
      <c r="G15" s="489"/>
      <c r="H15" s="489"/>
      <c r="I15" s="489"/>
      <c r="J15" s="489"/>
      <c r="K15" s="489"/>
      <c r="L15" s="489"/>
      <c r="M15" s="489"/>
      <c r="N15" s="489"/>
      <c r="O15" s="489"/>
    </row>
    <row r="16" spans="2:15" ht="6" customHeight="1" x14ac:dyDescent="0.25">
      <c r="C16" s="494"/>
      <c r="D16" s="494"/>
      <c r="E16" s="489"/>
      <c r="F16" s="489"/>
      <c r="G16" s="489"/>
      <c r="H16" s="489"/>
      <c r="I16" s="489"/>
      <c r="J16" s="489"/>
      <c r="K16" s="489"/>
      <c r="L16" s="489"/>
      <c r="M16" s="489"/>
      <c r="N16" s="489"/>
      <c r="O16" s="489"/>
    </row>
    <row r="17" spans="3:15" x14ac:dyDescent="0.25">
      <c r="C17" s="496" t="s">
        <v>603</v>
      </c>
      <c r="D17" s="494"/>
      <c r="E17" s="489"/>
      <c r="F17" s="489"/>
      <c r="G17" s="489"/>
      <c r="H17" s="489"/>
      <c r="I17" s="489"/>
      <c r="J17" s="489"/>
      <c r="K17" s="489"/>
      <c r="L17" s="489"/>
      <c r="M17" s="489"/>
      <c r="N17" s="489"/>
      <c r="O17" s="489"/>
    </row>
    <row r="18" spans="3:15" x14ac:dyDescent="0.25">
      <c r="C18" s="493" t="s">
        <v>98</v>
      </c>
      <c r="D18" s="494" t="s">
        <v>99</v>
      </c>
      <c r="E18" s="494"/>
      <c r="F18" s="494"/>
      <c r="G18" s="489"/>
      <c r="H18" s="489"/>
      <c r="I18" s="489"/>
      <c r="J18" s="489"/>
      <c r="K18" s="489"/>
      <c r="L18" s="489"/>
      <c r="M18" s="489"/>
      <c r="N18" s="489"/>
      <c r="O18" s="489"/>
    </row>
    <row r="19" spans="3:15" x14ac:dyDescent="0.25">
      <c r="C19" s="493" t="s">
        <v>100</v>
      </c>
      <c r="D19" s="494" t="s">
        <v>101</v>
      </c>
      <c r="E19" s="494"/>
      <c r="F19" s="494"/>
      <c r="G19" s="489"/>
      <c r="H19" s="489"/>
      <c r="I19" s="489"/>
      <c r="J19" s="489"/>
      <c r="K19" s="489"/>
      <c r="L19" s="489"/>
      <c r="M19" s="489"/>
      <c r="N19" s="489"/>
      <c r="O19" s="489"/>
    </row>
    <row r="20" spans="3:15" x14ac:dyDescent="0.25">
      <c r="C20" s="493" t="s">
        <v>102</v>
      </c>
      <c r="D20" s="494" t="s">
        <v>103</v>
      </c>
      <c r="E20" s="494"/>
      <c r="F20" s="494"/>
      <c r="G20" s="489"/>
      <c r="H20" s="489"/>
      <c r="I20" s="489"/>
      <c r="J20" s="489"/>
      <c r="K20" s="489"/>
      <c r="L20" s="489"/>
      <c r="M20" s="489"/>
      <c r="N20" s="489"/>
      <c r="O20" s="489"/>
    </row>
    <row r="21" spans="3:15" x14ac:dyDescent="0.25">
      <c r="C21" s="493" t="s">
        <v>104</v>
      </c>
      <c r="D21" s="494" t="s">
        <v>105</v>
      </c>
      <c r="E21" s="494"/>
      <c r="F21" s="494"/>
      <c r="G21" s="489"/>
      <c r="H21" s="489"/>
      <c r="I21" s="489"/>
      <c r="J21" s="489"/>
      <c r="K21" s="489"/>
      <c r="L21" s="489"/>
      <c r="M21" s="489"/>
      <c r="N21" s="489"/>
      <c r="O21" s="489"/>
    </row>
    <row r="22" spans="3:15" x14ac:dyDescent="0.25">
      <c r="C22" s="493" t="s">
        <v>106</v>
      </c>
      <c r="D22" s="494" t="s">
        <v>107</v>
      </c>
      <c r="E22" s="494"/>
      <c r="F22" s="494"/>
      <c r="G22" s="489"/>
      <c r="H22" s="489"/>
      <c r="I22" s="489"/>
      <c r="J22" s="489"/>
      <c r="K22" s="489"/>
      <c r="L22" s="489"/>
      <c r="M22" s="489"/>
      <c r="N22" s="489"/>
      <c r="O22" s="489"/>
    </row>
    <row r="23" spans="3:15" x14ac:dyDescent="0.25">
      <c r="C23" s="493" t="s">
        <v>108</v>
      </c>
      <c r="D23" s="494" t="s">
        <v>109</v>
      </c>
      <c r="E23" s="494"/>
      <c r="F23" s="494"/>
    </row>
    <row r="24" spans="3:15" x14ac:dyDescent="0.25">
      <c r="C24" s="493"/>
      <c r="D24" s="494"/>
      <c r="E24" s="494"/>
      <c r="F24" s="494"/>
    </row>
    <row r="25" spans="3:15" x14ac:dyDescent="0.25">
      <c r="C25" s="496" t="s">
        <v>110</v>
      </c>
      <c r="D25" s="494"/>
      <c r="E25" s="494"/>
      <c r="F25" s="494"/>
    </row>
    <row r="26" spans="3:15" x14ac:dyDescent="0.25">
      <c r="C26" s="493" t="s">
        <v>100</v>
      </c>
      <c r="D26" s="494" t="s">
        <v>111</v>
      </c>
      <c r="E26" s="494"/>
      <c r="F26" s="494"/>
    </row>
    <row r="27" spans="3:15" x14ac:dyDescent="0.25">
      <c r="C27" s="493" t="s">
        <v>102</v>
      </c>
      <c r="D27" s="494" t="s">
        <v>112</v>
      </c>
      <c r="E27" s="494"/>
      <c r="F27" s="494"/>
    </row>
    <row r="28" spans="3:15" x14ac:dyDescent="0.25">
      <c r="C28" s="493" t="s">
        <v>104</v>
      </c>
      <c r="D28" s="494" t="s">
        <v>604</v>
      </c>
      <c r="E28" s="494"/>
      <c r="F28" s="494"/>
    </row>
    <row r="29" spans="3:15" x14ac:dyDescent="0.25">
      <c r="C29" s="493" t="s">
        <v>55</v>
      </c>
      <c r="D29" s="494" t="s">
        <v>605</v>
      </c>
      <c r="E29" s="494"/>
      <c r="F29" s="494"/>
    </row>
    <row r="30" spans="3:15" x14ac:dyDescent="0.25">
      <c r="C30" s="493" t="s">
        <v>108</v>
      </c>
      <c r="D30" s="494" t="s">
        <v>113</v>
      </c>
      <c r="E30" s="494"/>
      <c r="F30" s="494"/>
    </row>
    <row r="31" spans="3:15" x14ac:dyDescent="0.25">
      <c r="C31" s="493" t="s">
        <v>114</v>
      </c>
      <c r="D31" s="494" t="s">
        <v>115</v>
      </c>
      <c r="E31" s="494"/>
      <c r="F31" s="494"/>
    </row>
    <row r="32" spans="3:15" x14ac:dyDescent="0.25">
      <c r="C32" s="493" t="s">
        <v>116</v>
      </c>
      <c r="D32" s="494" t="s">
        <v>117</v>
      </c>
      <c r="E32" s="494"/>
      <c r="F32" s="494"/>
    </row>
    <row r="33" spans="2:15" x14ac:dyDescent="0.25">
      <c r="C33" s="493" t="s">
        <v>118</v>
      </c>
      <c r="D33" s="494" t="s">
        <v>119</v>
      </c>
      <c r="E33" s="494"/>
      <c r="F33" s="494"/>
    </row>
    <row r="34" spans="2:15" x14ac:dyDescent="0.25">
      <c r="C34" s="493" t="s">
        <v>120</v>
      </c>
      <c r="D34" s="494" t="s">
        <v>606</v>
      </c>
      <c r="E34" s="494"/>
      <c r="F34" s="494"/>
    </row>
    <row r="35" spans="2:15" x14ac:dyDescent="0.25">
      <c r="C35" s="493" t="s">
        <v>121</v>
      </c>
      <c r="D35" s="494" t="s">
        <v>607</v>
      </c>
      <c r="E35" s="494"/>
      <c r="F35" s="494"/>
    </row>
    <row r="36" spans="2:15" ht="7.5" customHeight="1" x14ac:dyDescent="0.25">
      <c r="C36" s="489"/>
      <c r="D36" s="489"/>
      <c r="E36" s="489"/>
      <c r="F36" s="489"/>
      <c r="G36" s="489"/>
      <c r="H36" s="489"/>
      <c r="I36" s="489"/>
      <c r="J36" s="489"/>
      <c r="K36" s="489"/>
      <c r="L36" s="489"/>
      <c r="M36" s="489"/>
      <c r="N36" s="489"/>
      <c r="O36" s="489"/>
    </row>
    <row r="37" spans="2:15" x14ac:dyDescent="0.25">
      <c r="C37" s="494" t="s">
        <v>608</v>
      </c>
      <c r="D37" s="494"/>
      <c r="E37" s="494"/>
      <c r="F37" s="494"/>
    </row>
    <row r="38" spans="2:15" ht="7.5" customHeight="1" x14ac:dyDescent="0.25">
      <c r="C38" s="489"/>
      <c r="D38" s="489"/>
      <c r="E38" s="489"/>
      <c r="F38" s="489"/>
      <c r="G38" s="489"/>
      <c r="H38" s="489"/>
      <c r="I38" s="489"/>
      <c r="J38" s="489"/>
      <c r="K38" s="489"/>
      <c r="L38" s="489"/>
      <c r="M38" s="489"/>
      <c r="N38" s="489"/>
      <c r="O38" s="489"/>
    </row>
    <row r="39" spans="2:15" x14ac:dyDescent="0.25">
      <c r="C39" s="597" t="s">
        <v>609</v>
      </c>
      <c r="D39" s="597"/>
      <c r="E39" s="597"/>
      <c r="F39" s="597"/>
      <c r="G39" s="597"/>
      <c r="H39" s="597"/>
      <c r="I39" s="597"/>
      <c r="J39" s="597"/>
      <c r="K39" s="597"/>
      <c r="L39" s="597"/>
      <c r="M39" s="597"/>
      <c r="N39" s="597"/>
      <c r="O39" s="489"/>
    </row>
    <row r="40" spans="2:15" x14ac:dyDescent="0.25">
      <c r="C40" s="597"/>
      <c r="D40" s="597"/>
      <c r="E40" s="597"/>
      <c r="F40" s="597"/>
      <c r="G40" s="597"/>
      <c r="H40" s="597"/>
      <c r="I40" s="597"/>
      <c r="J40" s="597"/>
      <c r="K40" s="597"/>
      <c r="L40" s="597"/>
      <c r="M40" s="597"/>
      <c r="N40" s="597"/>
      <c r="O40" s="489"/>
    </row>
    <row r="41" spans="2:15" x14ac:dyDescent="0.25">
      <c r="C41" s="597"/>
      <c r="D41" s="597"/>
      <c r="E41" s="597"/>
      <c r="F41" s="597"/>
      <c r="G41" s="597"/>
      <c r="H41" s="597"/>
      <c r="I41" s="597"/>
      <c r="J41" s="597"/>
      <c r="K41" s="597"/>
      <c r="L41" s="597"/>
      <c r="M41" s="597"/>
      <c r="N41" s="597"/>
      <c r="O41" s="489"/>
    </row>
    <row r="42" spans="2:15" ht="7.5" customHeight="1" x14ac:dyDescent="0.25">
      <c r="C42" s="489"/>
      <c r="D42" s="489"/>
      <c r="E42" s="489"/>
      <c r="F42" s="489"/>
      <c r="G42" s="489"/>
      <c r="H42" s="489"/>
      <c r="I42" s="489"/>
      <c r="J42" s="489"/>
      <c r="K42" s="489"/>
      <c r="L42" s="489"/>
      <c r="M42" s="489"/>
      <c r="N42" s="489"/>
      <c r="O42" s="489"/>
    </row>
    <row r="43" spans="2:15" x14ac:dyDescent="0.25">
      <c r="C43" s="494" t="s">
        <v>122</v>
      </c>
      <c r="D43" s="489"/>
      <c r="E43" s="489"/>
      <c r="F43" s="489"/>
      <c r="G43" s="489"/>
      <c r="H43" s="489"/>
      <c r="I43" s="489"/>
      <c r="J43" s="489"/>
      <c r="K43" s="489"/>
      <c r="L43" s="489"/>
      <c r="M43" s="489"/>
      <c r="N43" s="489"/>
      <c r="O43" s="489"/>
    </row>
    <row r="44" spans="2:15" x14ac:dyDescent="0.25">
      <c r="C44" s="489"/>
      <c r="D44" s="489"/>
      <c r="E44" s="489"/>
      <c r="F44" s="489"/>
      <c r="G44" s="489"/>
      <c r="H44" s="489"/>
      <c r="I44" s="489"/>
      <c r="J44" s="489"/>
      <c r="K44" s="489"/>
      <c r="L44" s="489"/>
      <c r="M44" s="489"/>
      <c r="N44" s="489"/>
      <c r="O44" s="489"/>
    </row>
    <row r="45" spans="2:15" ht="97.95" customHeight="1" x14ac:dyDescent="0.25">
      <c r="B45" s="568">
        <v>3</v>
      </c>
      <c r="C45" s="599" t="s">
        <v>610</v>
      </c>
      <c r="D45" s="599"/>
      <c r="E45" s="599"/>
      <c r="F45" s="599"/>
      <c r="G45" s="599"/>
      <c r="H45" s="599"/>
      <c r="I45" s="599"/>
      <c r="J45" s="599"/>
      <c r="K45" s="599"/>
      <c r="L45" s="599"/>
      <c r="M45" s="599"/>
      <c r="N45" s="599"/>
      <c r="O45" s="599"/>
    </row>
    <row r="46" spans="2:15" ht="6.75" customHeight="1" x14ac:dyDescent="0.25">
      <c r="C46" s="489"/>
      <c r="D46" s="489"/>
      <c r="E46" s="489"/>
      <c r="F46" s="489"/>
      <c r="G46" s="489"/>
      <c r="H46" s="489"/>
      <c r="I46" s="489"/>
      <c r="J46" s="489"/>
      <c r="K46" s="489"/>
      <c r="L46" s="489"/>
      <c r="M46" s="489"/>
      <c r="N46" s="489"/>
      <c r="O46" s="489"/>
    </row>
    <row r="47" spans="2:15" ht="18" thickBot="1" x14ac:dyDescent="0.35">
      <c r="C47" s="595" t="s">
        <v>123</v>
      </c>
      <c r="D47" s="595"/>
      <c r="E47" s="595"/>
      <c r="F47" s="491"/>
      <c r="G47" s="491"/>
      <c r="H47" s="491"/>
      <c r="I47" s="491"/>
      <c r="J47" s="491"/>
      <c r="K47" s="491"/>
      <c r="L47" s="491"/>
      <c r="M47" s="491"/>
      <c r="N47" s="491"/>
      <c r="O47" s="491"/>
    </row>
    <row r="48" spans="2:15" ht="6" customHeight="1" x14ac:dyDescent="0.25">
      <c r="C48" s="494"/>
      <c r="D48" s="494"/>
      <c r="E48" s="494"/>
      <c r="F48" s="489"/>
      <c r="G48" s="489"/>
      <c r="H48" s="489"/>
      <c r="I48" s="489"/>
      <c r="J48" s="489"/>
      <c r="K48" s="489"/>
      <c r="L48" s="489"/>
      <c r="M48" s="489"/>
      <c r="N48" s="489"/>
      <c r="O48" s="489"/>
    </row>
    <row r="49" spans="3:15" x14ac:dyDescent="0.25">
      <c r="C49" s="493" t="s">
        <v>124</v>
      </c>
      <c r="D49" s="494"/>
      <c r="E49" s="494"/>
      <c r="F49" s="489"/>
      <c r="G49" s="489"/>
      <c r="H49" s="489"/>
      <c r="I49" s="489"/>
      <c r="J49" s="489"/>
      <c r="K49" s="489"/>
      <c r="L49" s="489"/>
      <c r="M49" s="489"/>
      <c r="N49" s="489"/>
      <c r="O49" s="489"/>
    </row>
    <row r="50" spans="3:15" x14ac:dyDescent="0.25">
      <c r="C50" s="498" t="s">
        <v>125</v>
      </c>
      <c r="D50" s="500" t="s">
        <v>611</v>
      </c>
      <c r="E50" s="489"/>
      <c r="F50" s="489"/>
      <c r="G50" s="489"/>
      <c r="H50" s="489"/>
      <c r="I50" s="489"/>
      <c r="J50" s="489"/>
      <c r="K50" s="489"/>
      <c r="L50" s="489"/>
      <c r="M50" s="489"/>
      <c r="N50" s="489"/>
      <c r="O50" s="489"/>
    </row>
    <row r="51" spans="3:15" x14ac:dyDescent="0.25">
      <c r="C51" s="498" t="s">
        <v>126</v>
      </c>
      <c r="D51" s="501" t="s">
        <v>127</v>
      </c>
      <c r="E51" s="489"/>
      <c r="F51" s="489"/>
      <c r="G51" s="489"/>
      <c r="H51" s="489"/>
      <c r="I51" s="489"/>
      <c r="J51" s="489"/>
      <c r="K51" s="489"/>
      <c r="L51" s="489"/>
      <c r="M51" s="489"/>
      <c r="N51" s="489"/>
      <c r="O51" s="489"/>
    </row>
    <row r="52" spans="3:15" x14ac:dyDescent="0.25">
      <c r="C52" s="498" t="s">
        <v>128</v>
      </c>
      <c r="D52" s="494" t="s">
        <v>129</v>
      </c>
      <c r="E52" s="489"/>
      <c r="F52" s="489"/>
      <c r="G52" s="489"/>
      <c r="H52" s="489"/>
      <c r="I52" s="489"/>
      <c r="J52" s="489"/>
      <c r="K52" s="489"/>
      <c r="L52" s="489"/>
      <c r="M52" s="489"/>
      <c r="N52" s="489"/>
      <c r="O52" s="489"/>
    </row>
    <row r="53" spans="3:15" x14ac:dyDescent="0.25">
      <c r="C53" s="498" t="s">
        <v>130</v>
      </c>
      <c r="D53" s="494" t="s">
        <v>131</v>
      </c>
      <c r="E53" s="489"/>
      <c r="F53" s="489"/>
      <c r="G53" s="489"/>
      <c r="H53" s="489"/>
      <c r="I53" s="489"/>
      <c r="J53" s="489"/>
      <c r="K53" s="489"/>
      <c r="L53" s="489"/>
      <c r="M53" s="489"/>
      <c r="N53" s="489"/>
      <c r="O53" s="489"/>
    </row>
    <row r="54" spans="3:15" x14ac:dyDescent="0.25">
      <c r="C54" s="499" t="s">
        <v>132</v>
      </c>
      <c r="D54" s="494" t="s">
        <v>133</v>
      </c>
      <c r="E54" s="489"/>
      <c r="F54" s="489"/>
      <c r="G54" s="489"/>
      <c r="H54" s="489"/>
      <c r="I54" s="489"/>
      <c r="J54" s="489"/>
      <c r="K54" s="489"/>
      <c r="L54" s="489"/>
      <c r="M54" s="489"/>
      <c r="N54" s="489"/>
      <c r="O54" s="489"/>
    </row>
    <row r="55" spans="3:15" x14ac:dyDescent="0.25">
      <c r="C55" s="497"/>
      <c r="D55" s="489"/>
      <c r="E55" s="489"/>
      <c r="F55" s="489"/>
      <c r="G55" s="489"/>
      <c r="H55" s="489"/>
      <c r="I55" s="489"/>
      <c r="J55" s="489"/>
      <c r="K55" s="489"/>
      <c r="L55" s="489"/>
      <c r="M55" s="489"/>
      <c r="N55" s="489"/>
      <c r="O55" s="489"/>
    </row>
    <row r="56" spans="3:15" x14ac:dyDescent="0.25">
      <c r="C56" s="493" t="s">
        <v>98</v>
      </c>
      <c r="D56" s="494"/>
      <c r="E56" s="489"/>
      <c r="F56" s="489"/>
      <c r="G56" s="489"/>
      <c r="H56" s="489"/>
      <c r="I56" s="489"/>
      <c r="J56" s="489"/>
      <c r="K56" s="489"/>
      <c r="L56" s="489"/>
      <c r="M56" s="489"/>
      <c r="N56" s="489"/>
      <c r="O56" s="489"/>
    </row>
    <row r="57" spans="3:15" x14ac:dyDescent="0.25">
      <c r="C57" s="494" t="s">
        <v>134</v>
      </c>
      <c r="D57" s="494" t="s">
        <v>135</v>
      </c>
      <c r="E57" s="489"/>
      <c r="F57" s="489"/>
      <c r="G57" s="489"/>
      <c r="H57" s="489"/>
      <c r="I57" s="489"/>
      <c r="J57" s="489"/>
      <c r="K57" s="489"/>
      <c r="L57" s="489"/>
      <c r="M57" s="489"/>
      <c r="N57" s="489"/>
      <c r="O57" s="489"/>
    </row>
    <row r="58" spans="3:15" x14ac:dyDescent="0.25">
      <c r="C58" s="494" t="s">
        <v>136</v>
      </c>
      <c r="D58" s="494" t="s">
        <v>137</v>
      </c>
      <c r="E58" s="489"/>
      <c r="F58" s="489"/>
      <c r="G58" s="489"/>
      <c r="H58" s="489"/>
      <c r="I58" s="489"/>
      <c r="J58" s="489"/>
      <c r="K58" s="489"/>
      <c r="L58" s="489"/>
      <c r="M58" s="489"/>
      <c r="N58" s="489"/>
      <c r="O58" s="489"/>
    </row>
    <row r="59" spans="3:15" x14ac:dyDescent="0.25">
      <c r="C59" s="489"/>
      <c r="D59" s="489"/>
      <c r="E59" s="489"/>
      <c r="F59" s="489"/>
      <c r="G59" s="489"/>
      <c r="H59" s="489"/>
      <c r="I59" s="489"/>
      <c r="J59" s="489"/>
      <c r="K59" s="489"/>
      <c r="L59" s="489"/>
      <c r="M59" s="489"/>
      <c r="N59" s="489"/>
      <c r="O59" s="489"/>
    </row>
    <row r="60" spans="3:15" x14ac:dyDescent="0.25">
      <c r="C60" s="493" t="s">
        <v>138</v>
      </c>
      <c r="D60" s="489"/>
      <c r="E60" s="489"/>
      <c r="F60" s="489"/>
      <c r="G60" s="489"/>
      <c r="H60" s="489"/>
      <c r="I60" s="489"/>
      <c r="J60" s="489"/>
      <c r="K60" s="489"/>
      <c r="L60" s="489"/>
      <c r="M60" s="489"/>
      <c r="N60" s="489"/>
      <c r="O60" s="489"/>
    </row>
    <row r="61" spans="3:15" x14ac:dyDescent="0.25">
      <c r="C61" s="494" t="s">
        <v>139</v>
      </c>
      <c r="D61" s="494" t="s">
        <v>612</v>
      </c>
      <c r="E61" s="489"/>
      <c r="F61" s="489"/>
      <c r="G61" s="489"/>
      <c r="H61" s="489"/>
      <c r="I61" s="489"/>
      <c r="J61" s="489"/>
      <c r="K61" s="489"/>
      <c r="L61" s="489"/>
      <c r="M61" s="489"/>
      <c r="N61" s="489"/>
      <c r="O61" s="489"/>
    </row>
    <row r="62" spans="3:15" x14ac:dyDescent="0.25">
      <c r="C62" s="494" t="s">
        <v>140</v>
      </c>
      <c r="D62" s="494" t="s">
        <v>141</v>
      </c>
      <c r="E62" s="494"/>
      <c r="F62" s="494"/>
      <c r="G62" s="494"/>
      <c r="H62" s="494"/>
      <c r="I62" s="494"/>
      <c r="J62" s="494"/>
      <c r="K62" s="494"/>
      <c r="L62" s="494"/>
      <c r="M62" s="494"/>
      <c r="N62" s="494"/>
      <c r="O62" s="489"/>
    </row>
    <row r="63" spans="3:15" x14ac:dyDescent="0.25">
      <c r="C63" s="494" t="s">
        <v>142</v>
      </c>
      <c r="D63" s="598" t="s">
        <v>613</v>
      </c>
      <c r="E63" s="598"/>
      <c r="F63" s="598"/>
      <c r="G63" s="598"/>
      <c r="H63" s="598"/>
      <c r="I63" s="598"/>
      <c r="J63" s="598"/>
      <c r="K63" s="598"/>
      <c r="L63" s="598"/>
      <c r="M63" s="598"/>
      <c r="N63" s="598"/>
      <c r="O63" s="489"/>
    </row>
    <row r="64" spans="3:15" x14ac:dyDescent="0.25">
      <c r="C64" s="494"/>
      <c r="D64" s="598"/>
      <c r="E64" s="598"/>
      <c r="F64" s="598"/>
      <c r="G64" s="598"/>
      <c r="H64" s="598"/>
      <c r="I64" s="598"/>
      <c r="J64" s="598"/>
      <c r="K64" s="598"/>
      <c r="L64" s="598"/>
      <c r="M64" s="598"/>
      <c r="N64" s="598"/>
      <c r="O64" s="489"/>
    </row>
    <row r="65" spans="3:15" x14ac:dyDescent="0.25">
      <c r="C65" s="489"/>
      <c r="D65" s="489"/>
      <c r="E65" s="489"/>
      <c r="F65" s="489"/>
      <c r="G65" s="489"/>
      <c r="H65" s="489"/>
      <c r="I65" s="489"/>
      <c r="J65" s="489"/>
      <c r="K65" s="489"/>
      <c r="L65" s="489"/>
      <c r="M65" s="489"/>
      <c r="N65" s="489"/>
      <c r="O65" s="489"/>
    </row>
    <row r="66" spans="3:15" x14ac:dyDescent="0.25">
      <c r="C66" s="489"/>
      <c r="D66" s="502"/>
      <c r="E66" s="502"/>
      <c r="F66" s="502"/>
      <c r="G66" s="502"/>
      <c r="H66" s="502"/>
      <c r="I66" s="489"/>
      <c r="J66" s="489"/>
      <c r="K66" s="489"/>
      <c r="L66" s="489"/>
      <c r="M66" s="489"/>
      <c r="N66" s="489"/>
      <c r="O66" s="489"/>
    </row>
    <row r="67" spans="3:15" x14ac:dyDescent="0.25">
      <c r="C67" s="503"/>
      <c r="D67" s="504"/>
      <c r="E67" s="505"/>
      <c r="F67" s="504"/>
      <c r="G67" s="504"/>
      <c r="H67" s="506"/>
      <c r="I67" s="489"/>
      <c r="J67" s="489"/>
      <c r="K67" s="489"/>
      <c r="L67" s="489"/>
      <c r="M67" s="489"/>
      <c r="N67" s="489"/>
      <c r="O67" s="489"/>
    </row>
    <row r="68" spans="3:15" x14ac:dyDescent="0.25">
      <c r="C68" s="503"/>
      <c r="D68" s="504"/>
      <c r="E68" s="505"/>
      <c r="F68" s="507"/>
      <c r="G68" s="506"/>
      <c r="H68" s="506"/>
      <c r="I68" s="489"/>
      <c r="J68" s="489"/>
      <c r="K68" s="489"/>
      <c r="L68" s="489"/>
      <c r="M68" s="489"/>
      <c r="N68" s="489"/>
      <c r="O68" s="489"/>
    </row>
    <row r="69" spans="3:15" x14ac:dyDescent="0.25">
      <c r="C69" s="503"/>
      <c r="D69" s="504"/>
      <c r="E69" s="505"/>
      <c r="F69" s="507"/>
      <c r="G69" s="506"/>
      <c r="H69" s="506"/>
      <c r="I69" s="489"/>
      <c r="J69" s="489"/>
      <c r="K69" s="489"/>
      <c r="L69" s="489"/>
      <c r="M69" s="489"/>
      <c r="N69" s="489"/>
      <c r="O69" s="489"/>
    </row>
  </sheetData>
  <mergeCells count="6">
    <mergeCell ref="C2:E2"/>
    <mergeCell ref="C47:E47"/>
    <mergeCell ref="C6:O7"/>
    <mergeCell ref="C39:N41"/>
    <mergeCell ref="D63:N64"/>
    <mergeCell ref="C45:O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94A6-41FB-4685-9E2B-C7D4B58359F4}">
  <sheetPr codeName="Sheet4">
    <tabColor theme="4"/>
  </sheetPr>
  <dimension ref="C3:K91"/>
  <sheetViews>
    <sheetView topLeftCell="A4" workbookViewId="0">
      <selection activeCell="E21" sqref="E21"/>
    </sheetView>
  </sheetViews>
  <sheetFormatPr defaultColWidth="8.69921875" defaultRowHeight="13.8" x14ac:dyDescent="0.25"/>
  <cols>
    <col min="1" max="1" width="4.69921875" style="133" customWidth="1"/>
    <col min="2" max="2" width="2.69921875" style="133" customWidth="1"/>
    <col min="3" max="3" width="9.3984375" style="133" customWidth="1"/>
    <col min="4" max="4" width="13.09765625" style="133" customWidth="1"/>
    <col min="5" max="5" width="13.19921875" style="133" customWidth="1"/>
    <col min="6" max="6" width="13.09765625" style="133" customWidth="1"/>
    <col min="7" max="7" width="13" style="133" customWidth="1"/>
    <col min="8" max="8" width="15.19921875" style="133" customWidth="1"/>
    <col min="9" max="9" width="14.5" style="133" customWidth="1"/>
    <col min="10" max="10" width="10.19921875" style="133" hidden="1" customWidth="1"/>
    <col min="11" max="11" width="8.8984375" style="133" hidden="1" customWidth="1"/>
    <col min="12" max="16384" width="8.69921875" style="133"/>
  </cols>
  <sheetData>
    <row r="3" spans="3:11" x14ac:dyDescent="0.25">
      <c r="C3" s="153" t="s">
        <v>143</v>
      </c>
    </row>
    <row r="4" spans="3:11" ht="14.4" thickBot="1" x14ac:dyDescent="0.3"/>
    <row r="5" spans="3:11" ht="41.4" x14ac:dyDescent="0.25">
      <c r="C5" s="241" t="s">
        <v>144</v>
      </c>
      <c r="D5" s="242" t="s">
        <v>125</v>
      </c>
      <c r="E5" s="242" t="s">
        <v>126</v>
      </c>
      <c r="F5" s="242" t="s">
        <v>128</v>
      </c>
      <c r="G5" s="245" t="s">
        <v>145</v>
      </c>
      <c r="J5" s="242" t="s">
        <v>130</v>
      </c>
      <c r="K5" s="242" t="s">
        <v>132</v>
      </c>
    </row>
    <row r="6" spans="3:11" x14ac:dyDescent="0.25">
      <c r="C6" s="250" t="s">
        <v>146</v>
      </c>
      <c r="D6" s="291">
        <f>'Model Inputs'!D5</f>
        <v>4.5</v>
      </c>
      <c r="E6" s="291">
        <f>'Model Inputs'!E5</f>
        <v>4.2</v>
      </c>
      <c r="F6" s="291">
        <f>'Model Inputs'!F5</f>
        <v>4.5</v>
      </c>
      <c r="G6" s="250" t="s">
        <v>147</v>
      </c>
      <c r="J6" s="291" t="str">
        <f>'Model Inputs'!G5</f>
        <v>n/a</v>
      </c>
      <c r="K6" s="291" t="str">
        <f>'Model Inputs'!H5</f>
        <v>n/a</v>
      </c>
    </row>
    <row r="7" spans="3:11" x14ac:dyDescent="0.25">
      <c r="C7" s="133" t="s">
        <v>148</v>
      </c>
      <c r="D7" s="292">
        <f>'Model Inputs'!D6</f>
        <v>4.2</v>
      </c>
      <c r="E7" s="292">
        <f>'Model Inputs'!E6</f>
        <v>3.85</v>
      </c>
      <c r="F7" s="292">
        <f>'Model Inputs'!F6</f>
        <v>4.2</v>
      </c>
      <c r="G7" s="133" t="s">
        <v>147</v>
      </c>
      <c r="J7" s="292" t="str">
        <f>'Model Inputs'!G6</f>
        <v>n/a</v>
      </c>
      <c r="K7" s="292" t="str">
        <f>'Model Inputs'!H6</f>
        <v>n/a</v>
      </c>
    </row>
    <row r="8" spans="3:11" x14ac:dyDescent="0.25">
      <c r="C8" s="250" t="s">
        <v>149</v>
      </c>
      <c r="D8" s="291">
        <f>'Model Inputs'!D7</f>
        <v>3.85</v>
      </c>
      <c r="E8" s="291">
        <f>'Model Inputs'!E7</f>
        <v>3.65</v>
      </c>
      <c r="F8" s="291">
        <f>'Model Inputs'!F7</f>
        <v>3.85</v>
      </c>
      <c r="G8" s="250" t="s">
        <v>147</v>
      </c>
      <c r="J8" s="291" t="str">
        <f>'Model Inputs'!G7</f>
        <v>n/a</v>
      </c>
      <c r="K8" s="291" t="str">
        <f>'Model Inputs'!H7</f>
        <v>n/a</v>
      </c>
    </row>
    <row r="9" spans="3:11" ht="14.4" thickBot="1" x14ac:dyDescent="0.3">
      <c r="C9" s="246" t="s">
        <v>150</v>
      </c>
      <c r="D9" s="293">
        <f>'Model Inputs'!D8</f>
        <v>3.65</v>
      </c>
      <c r="E9" s="293">
        <f>'Model Inputs'!E8</f>
        <v>3.45</v>
      </c>
      <c r="F9" s="293">
        <f>'Model Inputs'!F8</f>
        <v>3.65</v>
      </c>
      <c r="G9" s="246" t="s">
        <v>147</v>
      </c>
      <c r="J9" s="293" t="str">
        <f>'Model Inputs'!G8</f>
        <v>n/a</v>
      </c>
      <c r="K9" s="293" t="str">
        <f>'Model Inputs'!H8</f>
        <v>n/a</v>
      </c>
    </row>
    <row r="10" spans="3:11" x14ac:dyDescent="0.25">
      <c r="D10" s="244"/>
    </row>
    <row r="12" spans="3:11" x14ac:dyDescent="0.25">
      <c r="C12" s="153" t="s">
        <v>151</v>
      </c>
    </row>
    <row r="13" spans="3:11" ht="14.4" thickBot="1" x14ac:dyDescent="0.3"/>
    <row r="14" spans="3:11" ht="27.6" x14ac:dyDescent="0.25">
      <c r="C14" s="245" t="s">
        <v>102</v>
      </c>
      <c r="D14" s="242" t="s">
        <v>146</v>
      </c>
      <c r="E14" s="242" t="s">
        <v>148</v>
      </c>
      <c r="F14" s="242" t="s">
        <v>149</v>
      </c>
      <c r="G14" s="242" t="s">
        <v>150</v>
      </c>
      <c r="J14" s="242" t="s">
        <v>152</v>
      </c>
    </row>
    <row r="15" spans="3:11" x14ac:dyDescent="0.25">
      <c r="C15" s="552">
        <v>0.3</v>
      </c>
      <c r="D15" s="553">
        <f>INDEX('ARCH 2024'!$P$33:$AG$37,MATCH('Input Exhibit'!D$14,'ARCH 2024'!$O$33:$O$37,0),MATCH('Input Exhibit'!$C15,'ARCH 2024'!$P$32:$AG$32,0))</f>
        <v>773.8499999999998</v>
      </c>
      <c r="E15" s="553">
        <f>INDEX('ARCH 2024'!$P$33:$AG$37,MATCH('Input Exhibit'!E$14,'ARCH 2024'!$O$33:$O$37,0),MATCH('Input Exhibit'!$C15,'ARCH 2024'!$P$32:$AG$32,0))</f>
        <v>829.125</v>
      </c>
      <c r="F15" s="553">
        <f>INDEX('ARCH 2024'!$P$33:$AG$37,MATCH('Input Exhibit'!F$14,'ARCH 2024'!$O$33:$O$37,0),MATCH('Input Exhibit'!$C15,'ARCH 2024'!$P$32:$AG$32,0))</f>
        <v>994.94999999999993</v>
      </c>
      <c r="G15" s="553">
        <f>INDEX('ARCH 2024'!$P$33:$AG$37,MATCH('Input Exhibit'!G$14,'ARCH 2024'!$O$33:$O$37,0),MATCH('Input Exhibit'!$C15,'ARCH 2024'!$P$32:$AG$32,0))</f>
        <v>1149.72</v>
      </c>
      <c r="J15" s="294">
        <f>INDEX('ARCH 2024'!$P$33:$AG$37,MATCH('Input Exhibit'!J$14,'ARCH 2024'!$O$33:$O$37,0),MATCH('Input Exhibit'!$C15,'ARCH 2024'!$P$32:$AG$32,0))</f>
        <v>1282.3799999999999</v>
      </c>
    </row>
    <row r="16" spans="3:11" x14ac:dyDescent="0.25">
      <c r="C16" s="248">
        <v>0.35</v>
      </c>
      <c r="D16" s="295">
        <f>INDEX('ARCH 2024'!$P$33:$AG$37,MATCH('Input Exhibit'!D$14,'ARCH 2024'!$O$33:$O$37,0),MATCH('Input Exhibit'!$C16,'ARCH 2024'!$P$32:$AG$32,0))</f>
        <v>902.82499999999993</v>
      </c>
      <c r="E16" s="295">
        <f>INDEX('ARCH 2024'!$P$33:$AG$37,MATCH('Input Exhibit'!E$14,'ARCH 2024'!$O$33:$O$37,0),MATCH('Input Exhibit'!$C16,'ARCH 2024'!$P$32:$AG$32,0))</f>
        <v>967.3125</v>
      </c>
      <c r="F16" s="295">
        <f>INDEX('ARCH 2024'!$P$33:$AG$37,MATCH('Input Exhibit'!F$14,'ARCH 2024'!$O$33:$O$37,0),MATCH('Input Exhibit'!$C16,'ARCH 2024'!$P$32:$AG$32,0))</f>
        <v>1160.7749999999999</v>
      </c>
      <c r="G16" s="295">
        <f>INDEX('ARCH 2024'!$P$33:$AG$37,MATCH('Input Exhibit'!G$14,'ARCH 2024'!$O$33:$O$37,0),MATCH('Input Exhibit'!$C16,'ARCH 2024'!$P$32:$AG$32,0))</f>
        <v>1341.3400000000001</v>
      </c>
      <c r="J16" s="295">
        <f>INDEX('ARCH 2024'!$P$33:$AG$37,MATCH('Input Exhibit'!J$14,'ARCH 2024'!$O$33:$O$37,0),MATCH('Input Exhibit'!$C16,'ARCH 2024'!$P$32:$AG$32,0))</f>
        <v>1496.11</v>
      </c>
    </row>
    <row r="17" spans="3:10" x14ac:dyDescent="0.25">
      <c r="C17" s="552">
        <v>0.4</v>
      </c>
      <c r="D17" s="553">
        <f>INDEX('ARCH 2024'!$P$33:$AG$37,MATCH('Input Exhibit'!D$14,'ARCH 2024'!$O$33:$O$37,0),MATCH('Input Exhibit'!$C17,'ARCH 2024'!$P$32:$AG$32,0))</f>
        <v>1031.8</v>
      </c>
      <c r="E17" s="553">
        <f>INDEX('ARCH 2024'!$P$33:$AG$37,MATCH('Input Exhibit'!E$14,'ARCH 2024'!$O$33:$O$37,0),MATCH('Input Exhibit'!$C17,'ARCH 2024'!$P$32:$AG$32,0))</f>
        <v>1105.5</v>
      </c>
      <c r="F17" s="553">
        <f>INDEX('ARCH 2024'!$P$33:$AG$37,MATCH('Input Exhibit'!F$14,'ARCH 2024'!$O$33:$O$37,0),MATCH('Input Exhibit'!$C17,'ARCH 2024'!$P$32:$AG$32,0))</f>
        <v>1326.6</v>
      </c>
      <c r="G17" s="553">
        <f>INDEX('ARCH 2024'!$P$33:$AG$37,MATCH('Input Exhibit'!G$14,'ARCH 2024'!$O$33:$O$37,0),MATCH('Input Exhibit'!$C17,'ARCH 2024'!$P$32:$AG$32,0))</f>
        <v>1532.9599999999998</v>
      </c>
      <c r="J17" s="294">
        <f>INDEX('ARCH 2024'!$P$33:$AG$37,MATCH('Input Exhibit'!J$14,'ARCH 2024'!$O$33:$O$37,0),MATCH('Input Exhibit'!$C17,'ARCH 2024'!$P$32:$AG$32,0))</f>
        <v>1709.8399999999997</v>
      </c>
    </row>
    <row r="18" spans="3:10" x14ac:dyDescent="0.25">
      <c r="C18" s="248">
        <v>0.45</v>
      </c>
      <c r="D18" s="295">
        <f>INDEX('ARCH 2024'!$P$33:$AG$37,MATCH('Input Exhibit'!D$14,'ARCH 2024'!$O$33:$O$37,0),MATCH('Input Exhibit'!$C18,'ARCH 2024'!$P$32:$AG$32,0))</f>
        <v>1160.7749999999999</v>
      </c>
      <c r="E18" s="295">
        <f>INDEX('ARCH 2024'!$P$33:$AG$37,MATCH('Input Exhibit'!E$14,'ARCH 2024'!$O$33:$O$37,0),MATCH('Input Exhibit'!$C18,'ARCH 2024'!$P$32:$AG$32,0))</f>
        <v>1243.6875</v>
      </c>
      <c r="F18" s="295">
        <f>INDEX('ARCH 2024'!$P$33:$AG$37,MATCH('Input Exhibit'!F$14,'ARCH 2024'!$O$33:$O$37,0),MATCH('Input Exhibit'!$C18,'ARCH 2024'!$P$32:$AG$32,0))</f>
        <v>1492.425</v>
      </c>
      <c r="G18" s="295">
        <f>INDEX('ARCH 2024'!$P$33:$AG$37,MATCH('Input Exhibit'!G$14,'ARCH 2024'!$O$33:$O$37,0),MATCH('Input Exhibit'!$C18,'ARCH 2024'!$P$32:$AG$32,0))</f>
        <v>1724.5800000000002</v>
      </c>
      <c r="J18" s="295">
        <f>INDEX('ARCH 2024'!$P$33:$AG$37,MATCH('Input Exhibit'!J$14,'ARCH 2024'!$O$33:$O$37,0),MATCH('Input Exhibit'!$C18,'ARCH 2024'!$P$32:$AG$32,0))</f>
        <v>1923.57</v>
      </c>
    </row>
    <row r="19" spans="3:10" x14ac:dyDescent="0.25">
      <c r="C19" s="552">
        <v>0.5</v>
      </c>
      <c r="D19" s="553">
        <f>INDEX('ARCH 2024'!$P$33:$AG$37,MATCH('Input Exhibit'!D$14,'ARCH 2024'!$O$33:$O$37,0),MATCH('Input Exhibit'!$C19,'ARCH 2024'!$P$32:$AG$32,0))</f>
        <v>1289.75</v>
      </c>
      <c r="E19" s="553">
        <f>INDEX('ARCH 2024'!$P$33:$AG$37,MATCH('Input Exhibit'!E$14,'ARCH 2024'!$O$33:$O$37,0),MATCH('Input Exhibit'!$C19,'ARCH 2024'!$P$32:$AG$32,0))</f>
        <v>1381.875</v>
      </c>
      <c r="F19" s="553">
        <f>INDEX('ARCH 2024'!$P$33:$AG$37,MATCH('Input Exhibit'!F$14,'ARCH 2024'!$O$33:$O$37,0),MATCH('Input Exhibit'!$C19,'ARCH 2024'!$P$32:$AG$32,0))</f>
        <v>1658.25</v>
      </c>
      <c r="G19" s="553">
        <f>INDEX('ARCH 2024'!$P$33:$AG$37,MATCH('Input Exhibit'!G$14,'ARCH 2024'!$O$33:$O$37,0),MATCH('Input Exhibit'!$C19,'ARCH 2024'!$P$32:$AG$32,0))</f>
        <v>1916.2</v>
      </c>
      <c r="J19" s="294">
        <f>INDEX('ARCH 2024'!$P$33:$AG$37,MATCH('Input Exhibit'!J$14,'ARCH 2024'!$O$33:$O$37,0),MATCH('Input Exhibit'!$C19,'ARCH 2024'!$P$32:$AG$32,0))</f>
        <v>2137.2999999999997</v>
      </c>
    </row>
    <row r="20" spans="3:10" x14ac:dyDescent="0.25">
      <c r="C20" s="248">
        <v>0.55000000000000004</v>
      </c>
      <c r="D20" s="295">
        <f>INDEX('ARCH 2024'!$P$33:$AG$37,MATCH('Input Exhibit'!D$14,'ARCH 2024'!$O$33:$O$37,0),MATCH('Input Exhibit'!$C20,'ARCH 2024'!$P$32:$AG$32,0))</f>
        <v>1418.7249999999999</v>
      </c>
      <c r="E20" s="295">
        <f>INDEX('ARCH 2024'!$P$33:$AG$37,MATCH('Input Exhibit'!E$14,'ARCH 2024'!$O$33:$O$37,0),MATCH('Input Exhibit'!$C20,'ARCH 2024'!$P$32:$AG$32,0))</f>
        <v>1520.0625</v>
      </c>
      <c r="F20" s="295">
        <f>INDEX('ARCH 2024'!$P$33:$AG$37,MATCH('Input Exhibit'!F$14,'ARCH 2024'!$O$33:$O$37,0),MATCH('Input Exhibit'!$C20,'ARCH 2024'!$P$32:$AG$32,0))</f>
        <v>1824.075</v>
      </c>
      <c r="G20" s="295">
        <f>INDEX('ARCH 2024'!$P$33:$AG$37,MATCH('Input Exhibit'!G$14,'ARCH 2024'!$O$33:$O$37,0),MATCH('Input Exhibit'!$C20,'ARCH 2024'!$P$32:$AG$32,0))</f>
        <v>2107.8199999999997</v>
      </c>
      <c r="J20" s="295">
        <f>INDEX('ARCH 2024'!$P$33:$AG$37,MATCH('Input Exhibit'!J$14,'ARCH 2024'!$O$33:$O$37,0),MATCH('Input Exhibit'!$C20,'ARCH 2024'!$P$32:$AG$32,0))</f>
        <v>2351.0299999999997</v>
      </c>
    </row>
    <row r="21" spans="3:10" x14ac:dyDescent="0.25">
      <c r="C21" s="552">
        <v>0.6</v>
      </c>
      <c r="D21" s="553">
        <f>INDEX('ARCH 2024'!$P$33:$AG$37,MATCH('Input Exhibit'!D$14,'ARCH 2024'!$O$33:$O$37,0),MATCH('Input Exhibit'!$C21,'ARCH 2024'!$P$32:$AG$32,0))</f>
        <v>1547.6999999999996</v>
      </c>
      <c r="E21" s="553">
        <f>INDEX('ARCH 2024'!$P$33:$AG$37,MATCH('Input Exhibit'!E$14,'ARCH 2024'!$O$33:$O$37,0),MATCH('Input Exhibit'!$C21,'ARCH 2024'!$P$32:$AG$32,0))</f>
        <v>1658.25</v>
      </c>
      <c r="F21" s="553">
        <f>INDEX('ARCH 2024'!$P$33:$AG$37,MATCH('Input Exhibit'!F$14,'ARCH 2024'!$O$33:$O$37,0),MATCH('Input Exhibit'!$C21,'ARCH 2024'!$P$32:$AG$32,0))</f>
        <v>1989.8999999999999</v>
      </c>
      <c r="G21" s="553">
        <f>INDEX('ARCH 2024'!$P$33:$AG$37,MATCH('Input Exhibit'!G$14,'ARCH 2024'!$O$33:$O$37,0),MATCH('Input Exhibit'!$C21,'ARCH 2024'!$P$32:$AG$32,0))</f>
        <v>2299.44</v>
      </c>
      <c r="J21" s="294">
        <f>INDEX('ARCH 2024'!$P$33:$AG$37,MATCH('Input Exhibit'!J$14,'ARCH 2024'!$O$33:$O$37,0),MATCH('Input Exhibit'!$C21,'ARCH 2024'!$P$32:$AG$32,0))</f>
        <v>2564.7599999999998</v>
      </c>
    </row>
    <row r="22" spans="3:10" x14ac:dyDescent="0.25">
      <c r="C22" s="248">
        <v>0.65</v>
      </c>
      <c r="D22" s="295">
        <f>INDEX('ARCH 2024'!$P$33:$AG$37,MATCH('Input Exhibit'!D$14,'ARCH 2024'!$O$33:$O$37,0),MATCH('Input Exhibit'!$C22,'ARCH 2024'!$P$32:$AG$32,0))</f>
        <v>1676.675</v>
      </c>
      <c r="E22" s="295">
        <f>INDEX('ARCH 2024'!$P$33:$AG$37,MATCH('Input Exhibit'!E$14,'ARCH 2024'!$O$33:$O$37,0),MATCH('Input Exhibit'!$C22,'ARCH 2024'!$P$32:$AG$32,0))</f>
        <v>1796.4375</v>
      </c>
      <c r="F22" s="295">
        <f>INDEX('ARCH 2024'!$P$33:$AG$37,MATCH('Input Exhibit'!F$14,'ARCH 2024'!$O$33:$O$37,0),MATCH('Input Exhibit'!$C22,'ARCH 2024'!$P$32:$AG$32,0))</f>
        <v>2155.7249999999999</v>
      </c>
      <c r="G22" s="295">
        <f>INDEX('ARCH 2024'!$P$33:$AG$37,MATCH('Input Exhibit'!G$14,'ARCH 2024'!$O$33:$O$37,0),MATCH('Input Exhibit'!$C22,'ARCH 2024'!$P$32:$AG$32,0))</f>
        <v>2491.06</v>
      </c>
      <c r="J22" s="295">
        <f>INDEX('ARCH 2024'!$P$33:$AG$37,MATCH('Input Exhibit'!J$14,'ARCH 2024'!$O$33:$O$37,0),MATCH('Input Exhibit'!$C22,'ARCH 2024'!$P$32:$AG$32,0))</f>
        <v>2778.49</v>
      </c>
    </row>
    <row r="23" spans="3:10" x14ac:dyDescent="0.25">
      <c r="C23" s="552">
        <v>0.7</v>
      </c>
      <c r="D23" s="553">
        <f>INDEX('ARCH 2024'!$P$33:$AG$37,MATCH('Input Exhibit'!D$14,'ARCH 2024'!$O$33:$O$37,0),MATCH('Input Exhibit'!$C23,'ARCH 2024'!$P$32:$AG$32,0))</f>
        <v>1805.6499999999999</v>
      </c>
      <c r="E23" s="553">
        <f>INDEX('ARCH 2024'!$P$33:$AG$37,MATCH('Input Exhibit'!E$14,'ARCH 2024'!$O$33:$O$37,0),MATCH('Input Exhibit'!$C23,'ARCH 2024'!$P$32:$AG$32,0))</f>
        <v>1934.625</v>
      </c>
      <c r="F23" s="553">
        <f>INDEX('ARCH 2024'!$P$33:$AG$37,MATCH('Input Exhibit'!F$14,'ARCH 2024'!$O$33:$O$37,0),MATCH('Input Exhibit'!$C23,'ARCH 2024'!$P$32:$AG$32,0))</f>
        <v>2321.5499999999997</v>
      </c>
      <c r="G23" s="553">
        <f>INDEX('ARCH 2024'!$P$33:$AG$37,MATCH('Input Exhibit'!G$14,'ARCH 2024'!$O$33:$O$37,0),MATCH('Input Exhibit'!$C23,'ARCH 2024'!$P$32:$AG$32,0))</f>
        <v>2682.6800000000003</v>
      </c>
      <c r="J23" s="294">
        <f>INDEX('ARCH 2024'!$P$33:$AG$37,MATCH('Input Exhibit'!J$14,'ARCH 2024'!$O$33:$O$37,0),MATCH('Input Exhibit'!$C23,'ARCH 2024'!$P$32:$AG$32,0))</f>
        <v>2992.22</v>
      </c>
    </row>
    <row r="24" spans="3:10" x14ac:dyDescent="0.25">
      <c r="C24" s="248">
        <v>0.75</v>
      </c>
      <c r="D24" s="295">
        <f>INDEX('ARCH 2024'!$P$33:$AG$37,MATCH('Input Exhibit'!D$14,'ARCH 2024'!$O$33:$O$37,0),MATCH('Input Exhibit'!$C24,'ARCH 2024'!$P$32:$AG$32,0))</f>
        <v>1934.625</v>
      </c>
      <c r="E24" s="295">
        <f>INDEX('ARCH 2024'!$P$33:$AG$37,MATCH('Input Exhibit'!E$14,'ARCH 2024'!$O$33:$O$37,0),MATCH('Input Exhibit'!$C24,'ARCH 2024'!$P$32:$AG$32,0))</f>
        <v>2072.8125</v>
      </c>
      <c r="F24" s="295">
        <f>INDEX('ARCH 2024'!$P$33:$AG$37,MATCH('Input Exhibit'!F$14,'ARCH 2024'!$O$33:$O$37,0),MATCH('Input Exhibit'!$C24,'ARCH 2024'!$P$32:$AG$32,0))</f>
        <v>2487.375</v>
      </c>
      <c r="G24" s="295">
        <f>INDEX('ARCH 2024'!$P$33:$AG$37,MATCH('Input Exhibit'!G$14,'ARCH 2024'!$O$33:$O$37,0),MATCH('Input Exhibit'!$C24,'ARCH 2024'!$P$32:$AG$32,0))</f>
        <v>2874.3</v>
      </c>
      <c r="J24" s="295">
        <f>INDEX('ARCH 2024'!$P$33:$AG$37,MATCH('Input Exhibit'!J$14,'ARCH 2024'!$O$33:$O$37,0),MATCH('Input Exhibit'!$C24,'ARCH 2024'!$P$32:$AG$32,0))</f>
        <v>3205.95</v>
      </c>
    </row>
    <row r="25" spans="3:10" x14ac:dyDescent="0.25">
      <c r="C25" s="552">
        <v>0.8</v>
      </c>
      <c r="D25" s="553">
        <f>INDEX('ARCH 2024'!$P$33:$AG$37,MATCH('Input Exhibit'!D$14,'ARCH 2024'!$O$33:$O$37,0),MATCH('Input Exhibit'!$C25,'ARCH 2024'!$P$32:$AG$32,0))</f>
        <v>2063.6</v>
      </c>
      <c r="E25" s="553">
        <f>INDEX('ARCH 2024'!$P$33:$AG$37,MATCH('Input Exhibit'!E$14,'ARCH 2024'!$O$33:$O$37,0),MATCH('Input Exhibit'!$C25,'ARCH 2024'!$P$32:$AG$32,0))</f>
        <v>2211</v>
      </c>
      <c r="F25" s="553">
        <f>INDEX('ARCH 2024'!$P$33:$AG$37,MATCH('Input Exhibit'!F$14,'ARCH 2024'!$O$33:$O$37,0),MATCH('Input Exhibit'!$C25,'ARCH 2024'!$P$32:$AG$32,0))</f>
        <v>2653.2</v>
      </c>
      <c r="G25" s="553">
        <f>INDEX('ARCH 2024'!$P$33:$AG$37,MATCH('Input Exhibit'!G$14,'ARCH 2024'!$O$33:$O$37,0),MATCH('Input Exhibit'!$C25,'ARCH 2024'!$P$32:$AG$32,0))</f>
        <v>3065.9199999999996</v>
      </c>
      <c r="J25" s="294">
        <f>INDEX('ARCH 2024'!$P$33:$AG$37,MATCH('Input Exhibit'!J$14,'ARCH 2024'!$O$33:$O$37,0),MATCH('Input Exhibit'!$C25,'ARCH 2024'!$P$32:$AG$32,0))</f>
        <v>3419.6799999999994</v>
      </c>
    </row>
    <row r="26" spans="3:10" x14ac:dyDescent="0.25">
      <c r="C26" s="248">
        <v>0.85</v>
      </c>
      <c r="D26" s="295">
        <f>INDEX('ARCH 2024'!$P$33:$AG$37,MATCH('Input Exhibit'!D$14,'ARCH 2024'!$O$33:$O$37,0),MATCH('Input Exhibit'!$C26,'ARCH 2024'!$P$32:$AG$32,0))</f>
        <v>2192.5749999999998</v>
      </c>
      <c r="E26" s="295">
        <f>INDEX('ARCH 2024'!$P$33:$AG$37,MATCH('Input Exhibit'!E$14,'ARCH 2024'!$O$33:$O$37,0),MATCH('Input Exhibit'!$C26,'ARCH 2024'!$P$32:$AG$32,0))</f>
        <v>2349.1875</v>
      </c>
      <c r="F26" s="295">
        <f>INDEX('ARCH 2024'!$P$33:$AG$37,MATCH('Input Exhibit'!F$14,'ARCH 2024'!$O$33:$O$37,0),MATCH('Input Exhibit'!$C26,'ARCH 2024'!$P$32:$AG$32,0))</f>
        <v>2819.0250000000001</v>
      </c>
      <c r="G26" s="295">
        <f>INDEX('ARCH 2024'!$P$33:$AG$37,MATCH('Input Exhibit'!G$14,'ARCH 2024'!$O$33:$O$37,0),MATCH('Input Exhibit'!$C26,'ARCH 2024'!$P$32:$AG$32,0))</f>
        <v>3257.54</v>
      </c>
      <c r="J26" s="295">
        <f>INDEX('ARCH 2024'!$P$33:$AG$37,MATCH('Input Exhibit'!J$14,'ARCH 2024'!$O$33:$O$37,0),MATCH('Input Exhibit'!$C26,'ARCH 2024'!$P$32:$AG$32,0))</f>
        <v>3633.41</v>
      </c>
    </row>
    <row r="27" spans="3:10" x14ac:dyDescent="0.25">
      <c r="C27" s="552">
        <v>0.9</v>
      </c>
      <c r="D27" s="553">
        <f>INDEX('ARCH 2024'!$P$33:$AG$37,MATCH('Input Exhibit'!D$14,'ARCH 2024'!$O$33:$O$37,0),MATCH('Input Exhibit'!$C27,'ARCH 2024'!$P$32:$AG$32,0))</f>
        <v>2321.5499999999997</v>
      </c>
      <c r="E27" s="553">
        <f>INDEX('ARCH 2024'!$P$33:$AG$37,MATCH('Input Exhibit'!E$14,'ARCH 2024'!$O$33:$O$37,0),MATCH('Input Exhibit'!$C27,'ARCH 2024'!$P$32:$AG$32,0))</f>
        <v>2487.375</v>
      </c>
      <c r="F27" s="553">
        <f>INDEX('ARCH 2024'!$P$33:$AG$37,MATCH('Input Exhibit'!F$14,'ARCH 2024'!$O$33:$O$37,0),MATCH('Input Exhibit'!$C27,'ARCH 2024'!$P$32:$AG$32,0))</f>
        <v>2984.85</v>
      </c>
      <c r="G27" s="553">
        <f>INDEX('ARCH 2024'!$P$33:$AG$37,MATCH('Input Exhibit'!G$14,'ARCH 2024'!$O$33:$O$37,0),MATCH('Input Exhibit'!$C27,'ARCH 2024'!$P$32:$AG$32,0))</f>
        <v>3449.1600000000003</v>
      </c>
      <c r="J27" s="294">
        <f>INDEX('ARCH 2024'!$P$33:$AG$37,MATCH('Input Exhibit'!J$14,'ARCH 2024'!$O$33:$O$37,0),MATCH('Input Exhibit'!$C27,'ARCH 2024'!$P$32:$AG$32,0))</f>
        <v>3847.14</v>
      </c>
    </row>
    <row r="28" spans="3:10" x14ac:dyDescent="0.25">
      <c r="C28" s="248">
        <v>0.95</v>
      </c>
      <c r="D28" s="295">
        <f>INDEX('ARCH 2024'!$P$33:$AG$37,MATCH('Input Exhibit'!D$14,'ARCH 2024'!$O$33:$O$37,0),MATCH('Input Exhibit'!$C28,'ARCH 2024'!$P$32:$AG$32,0))</f>
        <v>2450.5250000000001</v>
      </c>
      <c r="E28" s="295">
        <f>INDEX('ARCH 2024'!$P$33:$AG$37,MATCH('Input Exhibit'!E$14,'ARCH 2024'!$O$33:$O$37,0),MATCH('Input Exhibit'!$C28,'ARCH 2024'!$P$32:$AG$32,0))</f>
        <v>2625.5625</v>
      </c>
      <c r="F28" s="295">
        <f>INDEX('ARCH 2024'!$P$33:$AG$37,MATCH('Input Exhibit'!F$14,'ARCH 2024'!$O$33:$O$37,0),MATCH('Input Exhibit'!$C28,'ARCH 2024'!$P$32:$AG$32,0))</f>
        <v>3150.6749999999997</v>
      </c>
      <c r="G28" s="295">
        <f>INDEX('ARCH 2024'!$P$33:$AG$37,MATCH('Input Exhibit'!G$14,'ARCH 2024'!$O$33:$O$37,0),MATCH('Input Exhibit'!$C28,'ARCH 2024'!$P$32:$AG$32,0))</f>
        <v>3640.7799999999997</v>
      </c>
      <c r="J28" s="295">
        <f>INDEX('ARCH 2024'!$P$33:$AG$37,MATCH('Input Exhibit'!J$14,'ARCH 2024'!$O$33:$O$37,0),MATCH('Input Exhibit'!$C28,'ARCH 2024'!$P$32:$AG$32,0))</f>
        <v>4060.869999999999</v>
      </c>
    </row>
    <row r="29" spans="3:10" x14ac:dyDescent="0.25">
      <c r="C29" s="552">
        <v>1</v>
      </c>
      <c r="D29" s="553">
        <f>INDEX('ARCH 2024'!$P$33:$AG$37,MATCH('Input Exhibit'!D$14,'ARCH 2024'!$O$33:$O$37,0),MATCH('Input Exhibit'!$C29,'ARCH 2024'!$P$32:$AG$32,0))</f>
        <v>2579.5</v>
      </c>
      <c r="E29" s="553">
        <f>INDEX('ARCH 2024'!$P$33:$AG$37,MATCH('Input Exhibit'!E$14,'ARCH 2024'!$O$33:$O$37,0),MATCH('Input Exhibit'!$C29,'ARCH 2024'!$P$32:$AG$32,0))</f>
        <v>2763.75</v>
      </c>
      <c r="F29" s="553">
        <f>INDEX('ARCH 2024'!$P$33:$AG$37,MATCH('Input Exhibit'!F$14,'ARCH 2024'!$O$33:$O$37,0),MATCH('Input Exhibit'!$C29,'ARCH 2024'!$P$32:$AG$32,0))</f>
        <v>3316.5</v>
      </c>
      <c r="G29" s="553">
        <f>INDEX('ARCH 2024'!$P$33:$AG$37,MATCH('Input Exhibit'!G$14,'ARCH 2024'!$O$33:$O$37,0),MATCH('Input Exhibit'!$C29,'ARCH 2024'!$P$32:$AG$32,0))</f>
        <v>3832.4</v>
      </c>
      <c r="J29" s="294">
        <f>INDEX('ARCH 2024'!$P$33:$AG$37,MATCH('Input Exhibit'!J$14,'ARCH 2024'!$O$33:$O$37,0),MATCH('Input Exhibit'!$C29,'ARCH 2024'!$P$32:$AG$32,0))</f>
        <v>4274.5999999999995</v>
      </c>
    </row>
    <row r="30" spans="3:10" x14ac:dyDescent="0.25">
      <c r="C30" s="248">
        <v>1.05</v>
      </c>
      <c r="D30" s="295">
        <f>INDEX('ARCH 2024'!$P$33:$AG$37,MATCH('Input Exhibit'!D$14,'ARCH 2024'!$O$33:$O$37,0),MATCH('Input Exhibit'!$C30,'ARCH 2024'!$P$32:$AG$32,0))</f>
        <v>2708.4749999999999</v>
      </c>
      <c r="E30" s="295">
        <f>INDEX('ARCH 2024'!$P$33:$AG$37,MATCH('Input Exhibit'!E$14,'ARCH 2024'!$O$33:$O$37,0),MATCH('Input Exhibit'!$C30,'ARCH 2024'!$P$32:$AG$32,0))</f>
        <v>2901.9375</v>
      </c>
      <c r="F30" s="295">
        <f>INDEX('ARCH 2024'!$P$33:$AG$37,MATCH('Input Exhibit'!F$14,'ARCH 2024'!$O$33:$O$37,0),MATCH('Input Exhibit'!$C30,'ARCH 2024'!$P$32:$AG$32,0))</f>
        <v>3482.3249999999998</v>
      </c>
      <c r="G30" s="295">
        <f>INDEX('ARCH 2024'!$P$33:$AG$37,MATCH('Input Exhibit'!G$14,'ARCH 2024'!$O$33:$O$37,0),MATCH('Input Exhibit'!$C30,'ARCH 2024'!$P$32:$AG$32,0))</f>
        <v>4024.02</v>
      </c>
      <c r="J30" s="295">
        <f>INDEX('ARCH 2024'!$P$33:$AG$37,MATCH('Input Exhibit'!J$14,'ARCH 2024'!$O$33:$O$37,0),MATCH('Input Exhibit'!$C30,'ARCH 2024'!$P$32:$AG$32,0))</f>
        <v>4488.33</v>
      </c>
    </row>
    <row r="31" spans="3:10" x14ac:dyDescent="0.25">
      <c r="C31" s="552">
        <v>1.1000000000000001</v>
      </c>
      <c r="D31" s="553">
        <f>INDEX('ARCH 2024'!$P$33:$AG$37,MATCH('Input Exhibit'!D$14,'ARCH 2024'!$O$33:$O$37,0),MATCH('Input Exhibit'!$C31,'ARCH 2024'!$P$32:$AG$32,0))</f>
        <v>2837.45</v>
      </c>
      <c r="E31" s="553">
        <f>INDEX('ARCH 2024'!$P$33:$AG$37,MATCH('Input Exhibit'!E$14,'ARCH 2024'!$O$33:$O$37,0),MATCH('Input Exhibit'!$C31,'ARCH 2024'!$P$32:$AG$32,0))</f>
        <v>3040.125</v>
      </c>
      <c r="F31" s="553">
        <f>INDEX('ARCH 2024'!$P$33:$AG$37,MATCH('Input Exhibit'!F$14,'ARCH 2024'!$O$33:$O$37,0),MATCH('Input Exhibit'!$C31,'ARCH 2024'!$P$32:$AG$32,0))</f>
        <v>3648.15</v>
      </c>
      <c r="G31" s="553">
        <f>INDEX('ARCH 2024'!$P$33:$AG$37,MATCH('Input Exhibit'!G$14,'ARCH 2024'!$O$33:$O$37,0),MATCH('Input Exhibit'!$C31,'ARCH 2024'!$P$32:$AG$32,0))</f>
        <v>4215.6399999999994</v>
      </c>
      <c r="J31" s="294">
        <f>INDEX('ARCH 2024'!$P$33:$AG$37,MATCH('Input Exhibit'!J$14,'ARCH 2024'!$O$33:$O$37,0),MATCH('Input Exhibit'!$C31,'ARCH 2024'!$P$32:$AG$32,0))</f>
        <v>4702.0599999999995</v>
      </c>
    </row>
    <row r="32" spans="3:10" ht="14.4" thickBot="1" x14ac:dyDescent="0.3">
      <c r="C32" s="249">
        <v>1.2</v>
      </c>
      <c r="D32" s="296">
        <f>INDEX('ARCH 2024'!$P$33:$AG$37,MATCH('Input Exhibit'!D$14,'ARCH 2024'!$O$33:$O$37,0),MATCH('Input Exhibit'!$C32,'ARCH 2024'!$P$32:$AG$32,0))</f>
        <v>3095.3999999999992</v>
      </c>
      <c r="E32" s="296">
        <f>INDEX('ARCH 2024'!$P$33:$AG$37,MATCH('Input Exhibit'!E$14,'ARCH 2024'!$O$33:$O$37,0),MATCH('Input Exhibit'!$C32,'ARCH 2024'!$P$32:$AG$32,0))</f>
        <v>3316.5</v>
      </c>
      <c r="F32" s="296">
        <f>INDEX('ARCH 2024'!$P$33:$AG$37,MATCH('Input Exhibit'!F$14,'ARCH 2024'!$O$33:$O$37,0),MATCH('Input Exhibit'!$C32,'ARCH 2024'!$P$32:$AG$32,0))</f>
        <v>3979.7999999999997</v>
      </c>
      <c r="G32" s="296">
        <f>INDEX('ARCH 2024'!$P$33:$AG$37,MATCH('Input Exhibit'!G$14,'ARCH 2024'!$O$33:$O$37,0),MATCH('Input Exhibit'!$C32,'ARCH 2024'!$P$32:$AG$32,0))</f>
        <v>4598.88</v>
      </c>
      <c r="J32" s="296">
        <f>INDEX('ARCH 2024'!$P$33:$AG$37,MATCH('Input Exhibit'!J$14,'ARCH 2024'!$O$33:$O$37,0),MATCH('Input Exhibit'!$C32,'ARCH 2024'!$P$32:$AG$32,0))</f>
        <v>5129.5199999999995</v>
      </c>
    </row>
    <row r="35" spans="3:10" x14ac:dyDescent="0.25">
      <c r="C35" s="153" t="s">
        <v>153</v>
      </c>
    </row>
    <row r="36" spans="3:10" ht="14.4" thickBot="1" x14ac:dyDescent="0.3"/>
    <row r="37" spans="3:10" ht="27.6" x14ac:dyDescent="0.25">
      <c r="C37" s="241" t="s">
        <v>154</v>
      </c>
      <c r="D37" s="242" t="s">
        <v>146</v>
      </c>
      <c r="E37" s="242" t="s">
        <v>148</v>
      </c>
      <c r="F37" s="242" t="s">
        <v>149</v>
      </c>
      <c r="G37" s="242" t="s">
        <v>150</v>
      </c>
      <c r="J37" s="242" t="s">
        <v>152</v>
      </c>
    </row>
    <row r="38" spans="3:10" x14ac:dyDescent="0.25">
      <c r="C38" s="133" t="s">
        <v>155</v>
      </c>
      <c r="D38" s="295">
        <f>INDEX('ARCH 2024'!$P$40:$Q$44,MATCH('Input Exhibit'!D$37,'ARCH 2024'!$O$40:$O$44,0),MATCH('Input Exhibit'!$C38,'ARCH 2024'!$P$39:$Q$39,0))</f>
        <v>169</v>
      </c>
      <c r="E38" s="295">
        <f>INDEX('ARCH 2024'!$P$40:$Q$44,MATCH('Input Exhibit'!E$37,'ARCH 2024'!$O$40:$O$44,0),MATCH('Input Exhibit'!$C38,'ARCH 2024'!$P$39:$Q$39,0))</f>
        <v>201</v>
      </c>
      <c r="F38" s="295">
        <f>INDEX('ARCH 2024'!$P$40:$Q$44,MATCH('Input Exhibit'!F$37,'ARCH 2024'!$O$40:$O$44,0),MATCH('Input Exhibit'!$C38,'ARCH 2024'!$P$39:$Q$39,0))</f>
        <v>247</v>
      </c>
      <c r="G38" s="295">
        <f>INDEX('ARCH 2024'!$P$40:$Q$44,MATCH('Input Exhibit'!G$37,'ARCH 2024'!$O$40:$O$44,0),MATCH('Input Exhibit'!$C38,'ARCH 2024'!$P$39:$Q$39,0))</f>
        <v>303</v>
      </c>
      <c r="J38" s="247">
        <f>INDEX('ARCH 2024'!$P$40:$Q$44,MATCH('Input Exhibit'!J$37,'ARCH 2024'!$O$40:$O$44,0),MATCH('Input Exhibit'!$C38,'ARCH 2024'!$P$39:$Q$39,0))</f>
        <v>357</v>
      </c>
    </row>
    <row r="39" spans="3:10" x14ac:dyDescent="0.25">
      <c r="C39" s="253" t="s">
        <v>156</v>
      </c>
      <c r="D39" s="297">
        <f>INDEX('ARCH 2024'!$P$40:$Q$44,MATCH('Input Exhibit'!D$37,'ARCH 2024'!$O$40:$O$44,0),MATCH('Input Exhibit'!$C39,'ARCH 2024'!$P$39:$Q$39,0))</f>
        <v>99</v>
      </c>
      <c r="E39" s="297">
        <f>INDEX('ARCH 2024'!$P$40:$Q$44,MATCH('Input Exhibit'!E$37,'ARCH 2024'!$O$40:$O$44,0),MATCH('Input Exhibit'!$C39,'ARCH 2024'!$P$39:$Q$39,0))</f>
        <v>99</v>
      </c>
      <c r="F39" s="297">
        <f>INDEX('ARCH 2024'!$P$40:$Q$44,MATCH('Input Exhibit'!F$37,'ARCH 2024'!$O$40:$O$44,0),MATCH('Input Exhibit'!$C39,'ARCH 2024'!$P$39:$Q$39,0))</f>
        <v>99</v>
      </c>
      <c r="G39" s="297">
        <f>INDEX('ARCH 2024'!$P$40:$Q$44,MATCH('Input Exhibit'!G$37,'ARCH 2024'!$O$40:$O$44,0),MATCH('Input Exhibit'!$C39,'ARCH 2024'!$P$39:$Q$39,0))</f>
        <v>99</v>
      </c>
      <c r="J39" s="254">
        <f>INDEX('ARCH 2024'!$P$40:$Q$44,MATCH('Input Exhibit'!J$37,'ARCH 2024'!$O$40:$O$44,0),MATCH('Input Exhibit'!$C39,'ARCH 2024'!$P$39:$Q$39,0))</f>
        <v>99</v>
      </c>
    </row>
    <row r="40" spans="3:10" ht="14.4" thickBot="1" x14ac:dyDescent="0.3">
      <c r="C40" s="251" t="s">
        <v>157</v>
      </c>
      <c r="D40" s="298">
        <f>SUM(D38:D39)</f>
        <v>268</v>
      </c>
      <c r="E40" s="298">
        <f t="shared" ref="E40:G40" si="0">SUM(E38:E39)</f>
        <v>300</v>
      </c>
      <c r="F40" s="298">
        <f t="shared" si="0"/>
        <v>346</v>
      </c>
      <c r="G40" s="298">
        <f t="shared" si="0"/>
        <v>402</v>
      </c>
      <c r="J40" s="252">
        <f>SUM(J38:J39)</f>
        <v>456</v>
      </c>
    </row>
    <row r="43" spans="3:10" x14ac:dyDescent="0.25">
      <c r="C43" s="153" t="s">
        <v>158</v>
      </c>
    </row>
    <row r="44" spans="3:10" ht="14.4" thickBot="1" x14ac:dyDescent="0.3"/>
    <row r="45" spans="3:10" ht="41.4" x14ac:dyDescent="0.25">
      <c r="C45" s="241"/>
      <c r="D45" s="242" t="s">
        <v>125</v>
      </c>
      <c r="E45" s="242" t="s">
        <v>126</v>
      </c>
      <c r="F45" s="242" t="s">
        <v>128</v>
      </c>
      <c r="G45" s="242" t="s">
        <v>130</v>
      </c>
      <c r="H45" s="242" t="s">
        <v>132</v>
      </c>
      <c r="I45" s="245" t="s">
        <v>145</v>
      </c>
    </row>
    <row r="46" spans="3:10" x14ac:dyDescent="0.25">
      <c r="C46" s="243" t="s">
        <v>159</v>
      </c>
      <c r="D46" s="243"/>
      <c r="E46" s="243"/>
      <c r="F46" s="243"/>
      <c r="G46" s="243"/>
      <c r="H46" s="243"/>
      <c r="I46" s="243"/>
    </row>
    <row r="47" spans="3:10" x14ac:dyDescent="0.25">
      <c r="C47" s="133" t="s">
        <v>160</v>
      </c>
      <c r="D47" s="299" t="str">
        <f>'Model Inputs'!D20</f>
        <v>n/a</v>
      </c>
      <c r="E47" s="299" t="str">
        <f>'Model Inputs'!E20</f>
        <v>n/a</v>
      </c>
      <c r="F47" s="299" t="str">
        <f>'Model Inputs'!F20</f>
        <v>n/a</v>
      </c>
      <c r="G47" s="295">
        <f>'Model Inputs'!G20</f>
        <v>48</v>
      </c>
      <c r="H47" s="299">
        <f>'Model Inputs'!H20</f>
        <v>45</v>
      </c>
      <c r="I47" s="133" t="s">
        <v>161</v>
      </c>
    </row>
    <row r="48" spans="3:10" x14ac:dyDescent="0.25">
      <c r="C48" s="133" t="s">
        <v>162</v>
      </c>
      <c r="D48" s="299">
        <f>'Model Inputs'!D21</f>
        <v>40</v>
      </c>
      <c r="E48" s="299">
        <f>'Model Inputs'!E21</f>
        <v>40</v>
      </c>
      <c r="F48" s="299">
        <f>'Model Inputs'!F21</f>
        <v>40</v>
      </c>
      <c r="G48" s="295">
        <f>'Model Inputs'!G21</f>
        <v>40</v>
      </c>
      <c r="H48" s="299">
        <f>'Model Inputs'!H21</f>
        <v>40</v>
      </c>
      <c r="I48" s="133" t="s">
        <v>163</v>
      </c>
    </row>
    <row r="49" spans="3:9" x14ac:dyDescent="0.25">
      <c r="C49" s="243" t="s">
        <v>164</v>
      </c>
      <c r="D49" s="300"/>
      <c r="E49" s="300"/>
      <c r="F49" s="300"/>
      <c r="G49" s="406"/>
      <c r="H49" s="300"/>
      <c r="I49" s="243"/>
    </row>
    <row r="50" spans="3:9" x14ac:dyDescent="0.25">
      <c r="C50" s="133" t="s">
        <v>162</v>
      </c>
      <c r="D50" s="299" t="str">
        <f>'Model Inputs'!D23</f>
        <v>n/a</v>
      </c>
      <c r="E50" s="299" t="str">
        <f>'Model Inputs'!E23</f>
        <v>n/a</v>
      </c>
      <c r="F50" s="299" t="str">
        <f>'Model Inputs'!F23</f>
        <v>n/a</v>
      </c>
      <c r="G50" s="295" t="str">
        <f>'Model Inputs'!G23</f>
        <v>n/a</v>
      </c>
      <c r="H50" s="299" t="str">
        <f>'Model Inputs'!H23</f>
        <v>n/a</v>
      </c>
      <c r="I50" s="133" t="s">
        <v>161</v>
      </c>
    </row>
    <row r="51" spans="3:9" x14ac:dyDescent="0.25">
      <c r="C51" s="133" t="s">
        <v>160</v>
      </c>
      <c r="D51" s="299">
        <f>'Model Inputs'!D24</f>
        <v>20</v>
      </c>
      <c r="E51" s="299">
        <f>'Model Inputs'!E24</f>
        <v>20</v>
      </c>
      <c r="F51" s="299">
        <f>'Model Inputs'!F24</f>
        <v>20</v>
      </c>
      <c r="G51" s="295">
        <f>'Model Inputs'!G24</f>
        <v>20</v>
      </c>
      <c r="H51" s="299">
        <f>'Model Inputs'!H24</f>
        <v>20</v>
      </c>
      <c r="I51" s="133" t="s">
        <v>163</v>
      </c>
    </row>
    <row r="52" spans="3:9" x14ac:dyDescent="0.25">
      <c r="C52" s="243" t="s">
        <v>165</v>
      </c>
      <c r="D52" s="300"/>
      <c r="E52" s="300"/>
      <c r="F52" s="300"/>
      <c r="G52" s="406"/>
      <c r="H52" s="300"/>
      <c r="I52" s="243"/>
    </row>
    <row r="53" spans="3:9" x14ac:dyDescent="0.25">
      <c r="C53" s="133" t="s">
        <v>166</v>
      </c>
      <c r="D53" s="299">
        <f>'Model Inputs'!D28</f>
        <v>235</v>
      </c>
      <c r="E53" s="299">
        <f>'Model Inputs'!E28</f>
        <v>235</v>
      </c>
      <c r="F53" s="299">
        <f>'Model Inputs'!F28</f>
        <v>235</v>
      </c>
      <c r="G53" s="295" t="str">
        <f>'Model Inputs'!G28</f>
        <v>n/a</v>
      </c>
      <c r="H53" s="299" t="str">
        <f>'Model Inputs'!H28</f>
        <v>n/a</v>
      </c>
      <c r="I53" s="133" t="s">
        <v>167</v>
      </c>
    </row>
    <row r="54" spans="3:9" x14ac:dyDescent="0.25">
      <c r="C54" s="255" t="s">
        <v>160</v>
      </c>
      <c r="D54" s="299" t="str">
        <f>'Model Inputs'!D32</f>
        <v>n/a</v>
      </c>
      <c r="E54" s="299" t="str">
        <f>'Model Inputs'!E32</f>
        <v>n/a</v>
      </c>
      <c r="F54" s="299" t="str">
        <f>'Model Inputs'!F32</f>
        <v>n/a</v>
      </c>
      <c r="G54" s="295">
        <f>'Model Inputs'!G32</f>
        <v>200</v>
      </c>
      <c r="H54" s="299">
        <f>'Model Inputs'!H32</f>
        <v>200</v>
      </c>
      <c r="I54" s="133" t="s">
        <v>167</v>
      </c>
    </row>
    <row r="55" spans="3:9" ht="14.4" thickBot="1" x14ac:dyDescent="0.3">
      <c r="C55" s="256" t="s">
        <v>162</v>
      </c>
      <c r="D55" s="301">
        <f>'Model Inputs'!D34</f>
        <v>0</v>
      </c>
      <c r="E55" s="301">
        <f>'Model Inputs'!E34</f>
        <v>0</v>
      </c>
      <c r="F55" s="301">
        <f>'Model Inputs'!F34</f>
        <v>0</v>
      </c>
      <c r="G55" s="296">
        <f>'Model Inputs'!G34</f>
        <v>0</v>
      </c>
      <c r="H55" s="301">
        <f>'Model Inputs'!H34</f>
        <v>0</v>
      </c>
      <c r="I55" s="246" t="s">
        <v>167</v>
      </c>
    </row>
    <row r="58" spans="3:9" x14ac:dyDescent="0.25">
      <c r="C58" s="153" t="s">
        <v>168</v>
      </c>
    </row>
    <row r="60" spans="3:9" ht="14.4" thickBot="1" x14ac:dyDescent="0.3"/>
    <row r="61" spans="3:9" ht="41.4" x14ac:dyDescent="0.25">
      <c r="C61" s="241"/>
      <c r="D61" s="242" t="s">
        <v>125</v>
      </c>
      <c r="E61" s="242" t="s">
        <v>126</v>
      </c>
      <c r="F61" s="242" t="s">
        <v>128</v>
      </c>
      <c r="G61" s="242" t="s">
        <v>130</v>
      </c>
      <c r="H61" s="242" t="s">
        <v>132</v>
      </c>
      <c r="I61" s="245" t="s">
        <v>145</v>
      </c>
    </row>
    <row r="62" spans="3:9" x14ac:dyDescent="0.25">
      <c r="C62" s="243" t="s">
        <v>169</v>
      </c>
      <c r="D62" s="243"/>
      <c r="E62" s="243"/>
      <c r="F62" s="243"/>
      <c r="G62" s="243"/>
      <c r="H62" s="243"/>
      <c r="I62" s="243"/>
    </row>
    <row r="63" spans="3:9" x14ac:dyDescent="0.25">
      <c r="C63" s="79" t="s">
        <v>166</v>
      </c>
      <c r="D63" s="302">
        <f>'Model Inputs'!D38</f>
        <v>0.05</v>
      </c>
      <c r="E63" s="302">
        <f>'Model Inputs'!E38</f>
        <v>0.05</v>
      </c>
      <c r="F63" s="302">
        <f>'Model Inputs'!F38</f>
        <v>0.05</v>
      </c>
      <c r="G63" s="302" t="str">
        <f>'Model Inputs'!G38</f>
        <v>n/a</v>
      </c>
      <c r="H63" s="302" t="str">
        <f>'Model Inputs'!H38</f>
        <v>n/a</v>
      </c>
    </row>
    <row r="64" spans="3:9" x14ac:dyDescent="0.25">
      <c r="C64" s="79" t="s">
        <v>160</v>
      </c>
      <c r="D64" s="302" t="str">
        <f>'Model Inputs'!D39</f>
        <v>n/a</v>
      </c>
      <c r="E64" s="302" t="str">
        <f>'Model Inputs'!E39</f>
        <v>n/a</v>
      </c>
      <c r="F64" s="302" t="str">
        <f>'Model Inputs'!F39</f>
        <v>n/a</v>
      </c>
      <c r="G64" s="302">
        <f>'Model Inputs'!G39</f>
        <v>0.1</v>
      </c>
      <c r="H64" s="302">
        <f>'Model Inputs'!H39</f>
        <v>0.1</v>
      </c>
    </row>
    <row r="65" spans="3:9" x14ac:dyDescent="0.25">
      <c r="C65" s="79" t="s">
        <v>162</v>
      </c>
      <c r="D65" s="302">
        <f>'Model Inputs'!D40</f>
        <v>0.2</v>
      </c>
      <c r="E65" s="302">
        <f>'Model Inputs'!E40</f>
        <v>0.2</v>
      </c>
      <c r="F65" s="302">
        <f>'Model Inputs'!F40</f>
        <v>0.2</v>
      </c>
      <c r="G65" s="302">
        <f>'Model Inputs'!G40</f>
        <v>0.2</v>
      </c>
      <c r="H65" s="302">
        <f>'Model Inputs'!H40</f>
        <v>0.2</v>
      </c>
    </row>
    <row r="66" spans="3:9" x14ac:dyDescent="0.25">
      <c r="C66" s="243" t="s">
        <v>170</v>
      </c>
      <c r="D66" s="300"/>
      <c r="E66" s="300"/>
      <c r="F66" s="300"/>
      <c r="G66" s="300"/>
      <c r="H66" s="300"/>
      <c r="I66" s="243"/>
    </row>
    <row r="67" spans="3:9" ht="14.4" thickBot="1" x14ac:dyDescent="0.3">
      <c r="C67" s="303" t="s">
        <v>170</v>
      </c>
      <c r="D67" s="305">
        <f>'Model Inputs'!D41</f>
        <v>0.3</v>
      </c>
      <c r="E67" s="305">
        <f>'Model Inputs'!E41</f>
        <v>0.3</v>
      </c>
      <c r="F67" s="305">
        <f>'Model Inputs'!F41</f>
        <v>0.3</v>
      </c>
      <c r="G67" s="305">
        <f>'Model Inputs'!G41</f>
        <v>0.35</v>
      </c>
      <c r="H67" s="305">
        <f>'Model Inputs'!H41</f>
        <v>0.35</v>
      </c>
      <c r="I67" s="304" t="s">
        <v>171</v>
      </c>
    </row>
    <row r="70" spans="3:9" x14ac:dyDescent="0.25">
      <c r="C70" s="153" t="s">
        <v>172</v>
      </c>
    </row>
    <row r="71" spans="3:9" ht="14.4" thickBot="1" x14ac:dyDescent="0.3"/>
    <row r="72" spans="3:9" ht="41.4" x14ac:dyDescent="0.25">
      <c r="C72" s="241"/>
      <c r="D72" s="242" t="s">
        <v>125</v>
      </c>
      <c r="E72" s="242" t="s">
        <v>126</v>
      </c>
      <c r="F72" s="242" t="s">
        <v>128</v>
      </c>
      <c r="G72" s="242" t="s">
        <v>130</v>
      </c>
      <c r="H72" s="242" t="s">
        <v>132</v>
      </c>
      <c r="I72" s="245" t="s">
        <v>145</v>
      </c>
    </row>
    <row r="73" spans="3:9" x14ac:dyDescent="0.25">
      <c r="C73" s="243" t="s">
        <v>56</v>
      </c>
      <c r="D73" s="243"/>
      <c r="E73" s="243"/>
      <c r="F73" s="243"/>
      <c r="G73" s="243"/>
      <c r="H73" s="243"/>
      <c r="I73" s="243"/>
    </row>
    <row r="74" spans="3:9" x14ac:dyDescent="0.25">
      <c r="C74" s="78" t="s">
        <v>173</v>
      </c>
      <c r="D74" s="306">
        <f>'Model Inputs'!D43</f>
        <v>30</v>
      </c>
      <c r="E74" s="306">
        <f>'Model Inputs'!E43</f>
        <v>30</v>
      </c>
      <c r="F74" s="306">
        <f>'Model Inputs'!F43</f>
        <v>30</v>
      </c>
      <c r="G74" s="306">
        <f>'Model Inputs'!G43</f>
        <v>30</v>
      </c>
      <c r="H74" s="306">
        <f>'Model Inputs'!H43</f>
        <v>30</v>
      </c>
      <c r="I74" s="133" t="str">
        <f>'Model Inputs'!I43</f>
        <v>months</v>
      </c>
    </row>
    <row r="75" spans="3:9" x14ac:dyDescent="0.25">
      <c r="C75" s="309" t="s">
        <v>174</v>
      </c>
      <c r="D75" s="310">
        <f>'Model Inputs'!D44</f>
        <v>7.4999999999999997E-2</v>
      </c>
      <c r="E75" s="310">
        <f>'Model Inputs'!E44</f>
        <v>7.4999999999999997E-2</v>
      </c>
      <c r="F75" s="310">
        <f>'Model Inputs'!F44</f>
        <v>7.4999999999999997E-2</v>
      </c>
      <c r="G75" s="310">
        <f>'Model Inputs'!G44</f>
        <v>7.4999999999999997E-2</v>
      </c>
      <c r="H75" s="310">
        <f>'Model Inputs'!H44</f>
        <v>7.4999999999999997E-2</v>
      </c>
      <c r="I75" s="250"/>
    </row>
    <row r="76" spans="3:9" x14ac:dyDescent="0.25">
      <c r="C76" s="78" t="s">
        <v>175</v>
      </c>
      <c r="D76" s="307">
        <f>'Model Inputs'!D45</f>
        <v>0.55000000000000004</v>
      </c>
      <c r="E76" s="307">
        <f>'Model Inputs'!E45</f>
        <v>0.55000000000000004</v>
      </c>
      <c r="F76" s="307">
        <f>'Model Inputs'!F45</f>
        <v>0.55000000000000004</v>
      </c>
      <c r="G76" s="307">
        <f>'Model Inputs'!G45</f>
        <v>0.55000000000000004</v>
      </c>
      <c r="H76" s="307">
        <f>'Model Inputs'!H45</f>
        <v>0.55000000000000004</v>
      </c>
    </row>
    <row r="77" spans="3:9" x14ac:dyDescent="0.25">
      <c r="C77" s="243" t="s">
        <v>176</v>
      </c>
      <c r="D77" s="300"/>
      <c r="E77" s="300"/>
      <c r="F77" s="300"/>
      <c r="G77" s="300"/>
      <c r="H77" s="300"/>
      <c r="I77" s="243"/>
    </row>
    <row r="78" spans="3:9" x14ac:dyDescent="0.25">
      <c r="C78" s="124" t="s">
        <v>177</v>
      </c>
      <c r="D78" s="299">
        <f>'Model Inputs'!D47</f>
        <v>468.35</v>
      </c>
      <c r="E78" s="299">
        <f>'Model Inputs'!E47</f>
        <v>314.07000000000005</v>
      </c>
      <c r="F78" s="299">
        <f>'Model Inputs'!F47</f>
        <v>468.35</v>
      </c>
      <c r="G78" s="299">
        <f>'Model Inputs'!G47</f>
        <v>340</v>
      </c>
      <c r="H78" s="299">
        <f>'Model Inputs'!H47</f>
        <v>400</v>
      </c>
      <c r="I78" s="133" t="str">
        <f>'Model Inputs'!I47</f>
        <v>per sf</v>
      </c>
    </row>
    <row r="79" spans="3:9" x14ac:dyDescent="0.25">
      <c r="C79" s="309" t="s">
        <v>178</v>
      </c>
      <c r="D79" s="311">
        <f>'Model Inputs'!D49</f>
        <v>99180.000000000015</v>
      </c>
      <c r="E79" s="311">
        <f>'Model Inputs'!E49</f>
        <v>82650</v>
      </c>
      <c r="F79" s="311">
        <f>'Model Inputs'!F49</f>
        <v>82650</v>
      </c>
      <c r="G79" s="311">
        <f>'Model Inputs'!G49</f>
        <v>82650</v>
      </c>
      <c r="H79" s="311">
        <f>'Model Inputs'!H49</f>
        <v>99180</v>
      </c>
      <c r="I79" s="250" t="str">
        <f>'Model Inputs'!I49</f>
        <v>per stall</v>
      </c>
    </row>
    <row r="80" spans="3:9" x14ac:dyDescent="0.25">
      <c r="C80" s="78" t="s">
        <v>179</v>
      </c>
      <c r="D80" s="307">
        <f>'Model Inputs'!D50</f>
        <v>0.25</v>
      </c>
      <c r="E80" s="307">
        <f>'Model Inputs'!E50</f>
        <v>0.25</v>
      </c>
      <c r="F80" s="307">
        <f>'Model Inputs'!F50</f>
        <v>0.25</v>
      </c>
      <c r="G80" s="307">
        <f>'Model Inputs'!G50</f>
        <v>0.25</v>
      </c>
      <c r="H80" s="307">
        <f>'Model Inputs'!H50</f>
        <v>0.25</v>
      </c>
      <c r="I80" s="133" t="str">
        <f>'Model Inputs'!I50</f>
        <v>of hard costs</v>
      </c>
    </row>
    <row r="81" spans="3:9" x14ac:dyDescent="0.25">
      <c r="C81" s="309" t="s">
        <v>180</v>
      </c>
      <c r="D81" s="312">
        <f>'Model Inputs'!D51</f>
        <v>0.1</v>
      </c>
      <c r="E81" s="312">
        <f>'Model Inputs'!E51</f>
        <v>0.1</v>
      </c>
      <c r="F81" s="312">
        <f>'Model Inputs'!F51</f>
        <v>0.1</v>
      </c>
      <c r="G81" s="312">
        <f>'Model Inputs'!G51</f>
        <v>0.05</v>
      </c>
      <c r="H81" s="312">
        <f>'Model Inputs'!H51</f>
        <v>0.05</v>
      </c>
      <c r="I81" s="250" t="str">
        <f>'Model Inputs'!I51</f>
        <v>of hard costs</v>
      </c>
    </row>
    <row r="82" spans="3:9" x14ac:dyDescent="0.25">
      <c r="C82" s="78" t="s">
        <v>181</v>
      </c>
      <c r="D82" s="306"/>
      <c r="E82" s="306"/>
      <c r="F82" s="306"/>
      <c r="G82" s="306"/>
      <c r="H82" s="306"/>
    </row>
    <row r="83" spans="3:9" x14ac:dyDescent="0.25">
      <c r="C83" s="313" t="s">
        <v>160</v>
      </c>
      <c r="D83" s="311" t="str">
        <f>'Model Inputs'!D53</f>
        <v>n/a</v>
      </c>
      <c r="E83" s="311" t="str">
        <f>'Model Inputs'!E53</f>
        <v>n/a</v>
      </c>
      <c r="F83" s="311" t="str">
        <f>'Model Inputs'!F53</f>
        <v>n/a</v>
      </c>
      <c r="G83" s="311">
        <f>'Model Inputs'!G53</f>
        <v>100</v>
      </c>
      <c r="H83" s="311">
        <f>'Model Inputs'!H53</f>
        <v>100</v>
      </c>
      <c r="I83" s="250" t="str">
        <f>'Model Inputs'!I53</f>
        <v>per net sf</v>
      </c>
    </row>
    <row r="84" spans="3:9" x14ac:dyDescent="0.25">
      <c r="C84" s="117" t="s">
        <v>162</v>
      </c>
      <c r="D84" s="299">
        <f>'Model Inputs'!D54</f>
        <v>100</v>
      </c>
      <c r="E84" s="299">
        <f>'Model Inputs'!E54</f>
        <v>100</v>
      </c>
      <c r="F84" s="299">
        <f>'Model Inputs'!F54</f>
        <v>100</v>
      </c>
      <c r="G84" s="299">
        <f>'Model Inputs'!G54</f>
        <v>100</v>
      </c>
      <c r="H84" s="299">
        <f>'Model Inputs'!H54</f>
        <v>100</v>
      </c>
      <c r="I84" s="133" t="str">
        <f>'Model Inputs'!I54</f>
        <v>per net sf</v>
      </c>
    </row>
    <row r="85" spans="3:9" x14ac:dyDescent="0.25">
      <c r="C85" s="309" t="s">
        <v>182</v>
      </c>
      <c r="D85" s="311">
        <f>'Model Inputs'!D56</f>
        <v>10</v>
      </c>
      <c r="E85" s="311">
        <f>'Model Inputs'!E56</f>
        <v>10</v>
      </c>
      <c r="F85" s="311">
        <f>'Model Inputs'!F56</f>
        <v>10</v>
      </c>
      <c r="G85" s="311">
        <f>'Model Inputs'!G56</f>
        <v>10</v>
      </c>
      <c r="H85" s="311">
        <f>'Model Inputs'!H56</f>
        <v>10</v>
      </c>
      <c r="I85" s="250" t="str">
        <f>'Model Inputs'!I56</f>
        <v>per sf</v>
      </c>
    </row>
    <row r="86" spans="3:9" x14ac:dyDescent="0.25">
      <c r="C86" s="78" t="s">
        <v>183</v>
      </c>
      <c r="D86" s="299">
        <f>'Model Inputs'!D57</f>
        <v>5</v>
      </c>
      <c r="E86" s="299">
        <f>'Model Inputs'!E57</f>
        <v>5</v>
      </c>
      <c r="F86" s="299">
        <f>'Model Inputs'!F57</f>
        <v>5</v>
      </c>
      <c r="G86" s="299">
        <f>'Model Inputs'!G57</f>
        <v>5</v>
      </c>
      <c r="H86" s="299">
        <f>'Model Inputs'!H57</f>
        <v>5</v>
      </c>
      <c r="I86" s="133" t="str">
        <f>'Model Inputs'!I57</f>
        <v>per sf</v>
      </c>
    </row>
    <row r="87" spans="3:9" x14ac:dyDescent="0.25">
      <c r="C87" s="243" t="s">
        <v>184</v>
      </c>
      <c r="D87" s="300"/>
      <c r="E87" s="300"/>
      <c r="F87" s="300"/>
      <c r="G87" s="300"/>
      <c r="H87" s="300"/>
      <c r="I87" s="243"/>
    </row>
    <row r="88" spans="3:9" ht="14.4" thickBot="1" x14ac:dyDescent="0.3">
      <c r="C88" s="145" t="s">
        <v>185</v>
      </c>
      <c r="D88" s="308">
        <f>'Model Inputs'!D65</f>
        <v>4.7500000000000001E-2</v>
      </c>
      <c r="E88" s="308">
        <f>'Model Inputs'!E65</f>
        <v>4.7500000000000001E-2</v>
      </c>
      <c r="F88" s="308">
        <f>'Model Inputs'!F65</f>
        <v>4.7500000000000001E-2</v>
      </c>
      <c r="G88" s="308">
        <f>'Model Inputs'!G65</f>
        <v>7.0000000000000007E-2</v>
      </c>
      <c r="H88" s="308">
        <f>'Model Inputs'!H65</f>
        <v>7.0000000000000007E-2</v>
      </c>
      <c r="I88" s="246"/>
    </row>
    <row r="91" spans="3:9" x14ac:dyDescent="0.25">
      <c r="C91" s="1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7CD1E-6E36-4CBF-ABA7-5E0AF049C36F}">
  <sheetPr codeName="Sheet5">
    <tabColor theme="4"/>
  </sheetPr>
  <dimension ref="A2:N62"/>
  <sheetViews>
    <sheetView topLeftCell="B1" workbookViewId="0">
      <selection activeCell="D24" sqref="D24:F24"/>
    </sheetView>
  </sheetViews>
  <sheetFormatPr defaultColWidth="8.69921875" defaultRowHeight="13.8" x14ac:dyDescent="0.25"/>
  <cols>
    <col min="1" max="1" width="5.69921875" style="259" hidden="1" customWidth="1"/>
    <col min="2" max="2" width="8.69921875" style="259"/>
    <col min="3" max="3" width="19.8984375" style="78" customWidth="1"/>
    <col min="4" max="4" width="12.09765625" style="78" customWidth="1"/>
    <col min="5" max="5" width="12.59765625" style="78" customWidth="1"/>
    <col min="6" max="6" width="11.69921875" style="78" customWidth="1"/>
    <col min="7" max="7" width="16.19921875" style="78" customWidth="1"/>
    <col min="8" max="8" width="13.09765625" style="78" customWidth="1"/>
    <col min="9" max="9" width="21.69921875" style="78" customWidth="1"/>
    <col min="10" max="10" width="14.5" style="78" customWidth="1"/>
    <col min="11" max="11" width="14.69921875" style="78" customWidth="1"/>
    <col min="12" max="12" width="15.5" style="133" bestFit="1" customWidth="1"/>
    <col min="13" max="13" width="8.69921875" style="78"/>
    <col min="14" max="14" width="44" style="78" customWidth="1"/>
    <col min="15" max="16384" width="8.69921875" style="78"/>
  </cols>
  <sheetData>
    <row r="2" spans="1:14" s="259" customFormat="1" x14ac:dyDescent="0.25">
      <c r="D2" s="259" t="s">
        <v>186</v>
      </c>
      <c r="E2" s="259" t="s">
        <v>187</v>
      </c>
      <c r="F2" s="259" t="s">
        <v>188</v>
      </c>
      <c r="J2" s="259" t="s">
        <v>189</v>
      </c>
      <c r="K2" s="259" t="s">
        <v>190</v>
      </c>
      <c r="L2" s="581"/>
    </row>
    <row r="3" spans="1:14" ht="14.4" thickBot="1" x14ac:dyDescent="0.3">
      <c r="C3" s="83" t="s">
        <v>139</v>
      </c>
      <c r="I3" s="83" t="s">
        <v>139</v>
      </c>
    </row>
    <row r="4" spans="1:14" ht="41.4" x14ac:dyDescent="0.25">
      <c r="C4" s="263" t="s">
        <v>10</v>
      </c>
      <c r="D4" s="140" t="s">
        <v>125</v>
      </c>
      <c r="E4" s="262" t="s">
        <v>126</v>
      </c>
      <c r="F4" s="262" t="s">
        <v>128</v>
      </c>
      <c r="G4" s="140" t="s">
        <v>145</v>
      </c>
      <c r="H4" s="134"/>
      <c r="I4" s="263" t="s">
        <v>10</v>
      </c>
      <c r="J4" s="262" t="s">
        <v>130</v>
      </c>
      <c r="K4" s="262" t="s">
        <v>132</v>
      </c>
      <c r="L4" s="140" t="s">
        <v>145</v>
      </c>
    </row>
    <row r="5" spans="1:14" x14ac:dyDescent="0.25">
      <c r="C5" s="1" t="s">
        <v>191</v>
      </c>
      <c r="D5" s="47"/>
      <c r="E5" s="47"/>
      <c r="F5" s="47"/>
      <c r="G5" s="47"/>
      <c r="I5" s="1" t="s">
        <v>191</v>
      </c>
      <c r="J5" s="47"/>
      <c r="K5" s="47"/>
      <c r="L5" s="47"/>
      <c r="N5" s="136"/>
    </row>
    <row r="6" spans="1:14" x14ac:dyDescent="0.25">
      <c r="A6" s="260" t="s">
        <v>192</v>
      </c>
      <c r="B6" s="260"/>
      <c r="C6" s="78" t="s">
        <v>192</v>
      </c>
      <c r="D6" s="278">
        <f>INDEX('Prototype Inputs'!$C$10:$G$32,MATCH('Prototype Exhibit'!$A6,'Prototype Inputs'!$B$10:$B$32,0),MATCH('Prototype Exhibit'!D$2,'Prototype Inputs'!$C$9:$G$9,0))</f>
        <v>36750</v>
      </c>
      <c r="E6" s="278">
        <f>INDEX('Prototype Inputs'!$C$72:$G$96,MATCH('Prototype Exhibit'!$A6,'Prototype Inputs'!$B$72:$B$96,0),MATCH('Prototype Exhibit'!E$2,'Prototype Inputs'!$C$71:$G$71,0))</f>
        <v>21700</v>
      </c>
      <c r="F6" s="278">
        <f>INDEX('Prototype Inputs'!$C$72:$G$96,MATCH('Prototype Exhibit'!$A6,'Prototype Inputs'!$B$72:$B$96,0),MATCH('Prototype Exhibit'!F$2,'Prototype Inputs'!$C$71:$G$71,0))</f>
        <v>50750</v>
      </c>
      <c r="G6" s="80" t="str">
        <f>INDEX('Prototype Inputs'!$H$72:$H$96,MATCH('Prototype Exhibit'!$A6,'Prototype Inputs'!$B$72:$B$96,0))</f>
        <v>square feet</v>
      </c>
      <c r="I6" s="78" t="s">
        <v>192</v>
      </c>
      <c r="J6" s="287">
        <f>INDEX('Prototype Inputs'!$C$72:$G$96,MATCH('Prototype Exhibit'!$A6,'Prototype Inputs'!$B$72:$B$96,0),MATCH('Prototype Exhibit'!J$2,'Prototype Inputs'!$C$71:$G$71,0))</f>
        <v>21700</v>
      </c>
      <c r="K6" s="287">
        <f>INDEX('Prototype Inputs'!$C$72:$G$96,MATCH('Prototype Exhibit'!$A6,'Prototype Inputs'!$B$72:$B$96,0),MATCH('Prototype Exhibit'!K$2,'Prototype Inputs'!$C$71:$G$71,0))</f>
        <v>50750</v>
      </c>
      <c r="L6" s="80" t="str">
        <f>INDEX('Prototype Inputs'!$H$72:$H$96,MATCH('Prototype Exhibit'!$A6,'Prototype Inputs'!$B$72:$B$96,0))</f>
        <v>square feet</v>
      </c>
    </row>
    <row r="7" spans="1:14" x14ac:dyDescent="0.25">
      <c r="A7" s="260" t="s">
        <v>193</v>
      </c>
      <c r="B7" s="260"/>
      <c r="C7" s="53" t="s">
        <v>193</v>
      </c>
      <c r="D7" s="279">
        <f>INDEX('Prototype Inputs'!$C$72:$G$96,MATCH('Prototype Exhibit'!$A7,'Prototype Inputs'!$B$72:$B$96,0),MATCH('Prototype Exhibit'!D$2,'Prototype Inputs'!$C$71:$G$71,0))</f>
        <v>105000</v>
      </c>
      <c r="E7" s="279">
        <f>INDEX('Prototype Inputs'!$C$72:$G$96,MATCH('Prototype Exhibit'!$A7,'Prototype Inputs'!$B$72:$B$96,0),MATCH('Prototype Exhibit'!E$2,'Prototype Inputs'!$C$71:$G$71,0))</f>
        <v>62000</v>
      </c>
      <c r="F7" s="279">
        <f>INDEX('Prototype Inputs'!$C$72:$G$96,MATCH('Prototype Exhibit'!$A7,'Prototype Inputs'!$B$72:$B$96,0),MATCH('Prototype Exhibit'!F$2,'Prototype Inputs'!$C$71:$G$71,0))</f>
        <v>145000</v>
      </c>
      <c r="G7" s="272" t="str">
        <f>INDEX('Prototype Inputs'!$H$72:$H$96,MATCH('Prototype Exhibit'!$A7,'Prototype Inputs'!$B$72:$B$96,0))</f>
        <v>square feet</v>
      </c>
      <c r="I7" s="53" t="s">
        <v>193</v>
      </c>
      <c r="J7" s="288">
        <f>INDEX('Prototype Inputs'!$C$72:$G$96,MATCH('Prototype Exhibit'!$A7,'Prototype Inputs'!$B$72:$B$96,0),MATCH('Prototype Exhibit'!J$2,'Prototype Inputs'!$C$71:$G$71,0))</f>
        <v>62000</v>
      </c>
      <c r="K7" s="288">
        <f>INDEX('Prototype Inputs'!$C$72:$G$96,MATCH('Prototype Exhibit'!$A7,'Prototype Inputs'!$B$72:$B$96,0),MATCH('Prototype Exhibit'!K$2,'Prototype Inputs'!$C$71:$G$71,0))</f>
        <v>145000</v>
      </c>
      <c r="L7" s="272" t="str">
        <f>INDEX('Prototype Inputs'!$H$72:$H$96,MATCH('Prototype Exhibit'!$A7,'Prototype Inputs'!$B$72:$B$96,0))</f>
        <v>square feet</v>
      </c>
    </row>
    <row r="8" spans="1:14" ht="27.6" x14ac:dyDescent="0.25">
      <c r="A8" s="260" t="s">
        <v>194</v>
      </c>
      <c r="B8" s="260"/>
      <c r="C8" s="226" t="s">
        <v>195</v>
      </c>
      <c r="D8" s="278">
        <f>INDEX('Prototype Inputs'!$C$72:$G$96,MATCH('Prototype Exhibit'!$A8,'Prototype Inputs'!$B$72:$B$96,0),MATCH('Prototype Exhibit'!D$2,'Prototype Inputs'!$C$71:$G$71,0))</f>
        <v>735000</v>
      </c>
      <c r="E8" s="278">
        <f>INDEX('Prototype Inputs'!$C$72:$G$96,MATCH('Prototype Exhibit'!$A8,'Prototype Inputs'!$B$72:$B$96,0),MATCH('Prototype Exhibit'!E$2,'Prototype Inputs'!$C$71:$G$71,0))</f>
        <v>130200</v>
      </c>
      <c r="F8" s="278">
        <f>INDEX('Prototype Inputs'!$C$72:$G$96,MATCH('Prototype Exhibit'!$A8,'Prototype Inputs'!$B$72:$B$96,0),MATCH('Prototype Exhibit'!F$2,'Prototype Inputs'!$C$71:$G$71,0))</f>
        <v>659750</v>
      </c>
      <c r="G8" s="80" t="str">
        <f>INDEX('Prototype Inputs'!$H$72:$H$96,MATCH('Prototype Exhibit'!$A8,'Prototype Inputs'!$B$72:$B$96,0))</f>
        <v>square feet</v>
      </c>
      <c r="I8" s="226" t="s">
        <v>195</v>
      </c>
      <c r="J8" s="287">
        <f>INDEX('Prototype Inputs'!$C$72:$G$96,MATCH('Prototype Exhibit'!$A8,'Prototype Inputs'!$B$72:$B$96,0),MATCH('Prototype Exhibit'!J$2,'Prototype Inputs'!$C$71:$G$71,0))</f>
        <v>130200</v>
      </c>
      <c r="K8" s="287">
        <f>INDEX('Prototype Inputs'!$C$72:$G$96,MATCH('Prototype Exhibit'!$A8,'Prototype Inputs'!$B$72:$B$96,0),MATCH('Prototype Exhibit'!K$2,'Prototype Inputs'!$C$71:$G$71,0))</f>
        <v>659750</v>
      </c>
      <c r="L8" s="80" t="str">
        <f>INDEX('Prototype Inputs'!$H$72:$H$96,MATCH('Prototype Exhibit'!$A8,'Prototype Inputs'!$B$72:$B$96,0))</f>
        <v>square feet</v>
      </c>
    </row>
    <row r="9" spans="1:14" ht="27.6" x14ac:dyDescent="0.25">
      <c r="A9" s="260" t="s">
        <v>196</v>
      </c>
      <c r="B9" s="260"/>
      <c r="C9" s="271" t="s">
        <v>197</v>
      </c>
      <c r="D9" s="280">
        <f>INDEX('Prototype Inputs'!$C$72:$G$96,MATCH('Prototype Exhibit'!$A9,'Prototype Inputs'!$B$72:$B$96,0),MATCH('Prototype Exhibit'!D$2,'Prototype Inputs'!$C$71:$G$71,0))</f>
        <v>1020675</v>
      </c>
      <c r="E9" s="280">
        <f>INDEX('Prototype Inputs'!$C$72:$G$96,MATCH('Prototype Exhibit'!$A9,'Prototype Inputs'!$B$72:$B$96,0),MATCH('Prototype Exhibit'!E$2,'Prototype Inputs'!$C$71:$G$71,0))</f>
        <v>174400</v>
      </c>
      <c r="F9" s="280">
        <f>INDEX('Prototype Inputs'!$C$72:$G$96,MATCH('Prototype Exhibit'!$A9,'Prototype Inputs'!$B$72:$B$96,0),MATCH('Prototype Exhibit'!F$2,'Prototype Inputs'!$C$71:$G$71,0))</f>
        <v>909025</v>
      </c>
      <c r="G9" s="273" t="str">
        <f>INDEX('Prototype Inputs'!$H$72:$H$96,MATCH('Prototype Exhibit'!$A9,'Prototype Inputs'!$B$72:$B$96,0))</f>
        <v>square feet</v>
      </c>
      <c r="I9" s="271" t="s">
        <v>197</v>
      </c>
      <c r="J9" s="289">
        <f>INDEX('Prototype Inputs'!$C$72:$G$96,MATCH('Prototype Exhibit'!$A9,'Prototype Inputs'!$B$72:$B$96,0),MATCH('Prototype Exhibit'!J$2,'Prototype Inputs'!$C$71:$G$71,0))</f>
        <v>195850</v>
      </c>
      <c r="K9" s="289">
        <f>INDEX('Prototype Inputs'!$C$72:$G$96,MATCH('Prototype Exhibit'!$A9,'Prototype Inputs'!$B$72:$B$96,0),MATCH('Prototype Exhibit'!K$2,'Prototype Inputs'!$C$71:$G$71,0))</f>
        <v>1010100</v>
      </c>
      <c r="L9" s="273" t="str">
        <f>INDEX('Prototype Inputs'!$H$72:$H$96,MATCH('Prototype Exhibit'!$A9,'Prototype Inputs'!$B$72:$B$96,0))</f>
        <v>square feet</v>
      </c>
      <c r="N9" s="83"/>
    </row>
    <row r="10" spans="1:14" x14ac:dyDescent="0.25">
      <c r="A10" s="260" t="s">
        <v>198</v>
      </c>
      <c r="B10" s="260"/>
      <c r="C10" s="79" t="s">
        <v>198</v>
      </c>
      <c r="D10" s="278">
        <f>INDEX('Prototype Inputs'!$C$72:$G$96,MATCH('Prototype Exhibit'!$A10,'Prototype Inputs'!$B$72:$B$96,0),MATCH('Prototype Exhibit'!D$2,'Prototype Inputs'!$C$71:$G$71,0))</f>
        <v>624750</v>
      </c>
      <c r="E10" s="278">
        <f>INDEX('Prototype Inputs'!$C$72:$G$96,MATCH('Prototype Exhibit'!$A10,'Prototype Inputs'!$B$72:$B$96,0),MATCH('Prototype Exhibit'!E$2,'Prototype Inputs'!$C$71:$G$71,0))</f>
        <v>110670</v>
      </c>
      <c r="F10" s="278">
        <f>INDEX('Prototype Inputs'!$C$72:$G$96,MATCH('Prototype Exhibit'!$A10,'Prototype Inputs'!$B$72:$B$96,0),MATCH('Prototype Exhibit'!F$2,'Prototype Inputs'!$C$71:$G$71,0))</f>
        <v>560788</v>
      </c>
      <c r="G10" s="80" t="str">
        <f>INDEX('Prototype Inputs'!$H$72:$H$96,MATCH('Prototype Exhibit'!$A10,'Prototype Inputs'!$B$72:$B$96,0))</f>
        <v>square feet</v>
      </c>
      <c r="I10" s="79" t="s">
        <v>198</v>
      </c>
      <c r="J10" s="287">
        <f>INDEX('Prototype Inputs'!$C$72:$G$96,MATCH('Prototype Exhibit'!$A10,'Prototype Inputs'!$B$72:$B$96,0),MATCH('Prototype Exhibit'!J$2,'Prototype Inputs'!$C$71:$G$71,0))</f>
        <v>110670</v>
      </c>
      <c r="K10" s="287">
        <f>INDEX('Prototype Inputs'!$C$72:$G$96,MATCH('Prototype Exhibit'!$A10,'Prototype Inputs'!$B$72:$B$96,0),MATCH('Prototype Exhibit'!K$2,'Prototype Inputs'!$C$71:$G$71,0))</f>
        <v>560788</v>
      </c>
      <c r="L10" s="80" t="str">
        <f>INDEX('Prototype Inputs'!$H$72:$H$96,MATCH('Prototype Exhibit'!$A10,'Prototype Inputs'!$B$72:$B$96,0))</f>
        <v>square feet</v>
      </c>
    </row>
    <row r="11" spans="1:14" x14ac:dyDescent="0.25">
      <c r="A11" s="261" t="s">
        <v>166</v>
      </c>
      <c r="B11" s="261"/>
      <c r="C11" s="205" t="s">
        <v>166</v>
      </c>
      <c r="D11" s="280">
        <f>INDEX('Prototype Inputs'!$C$72:$G$96,MATCH('Prototype Exhibit'!$A11,'Prototype Inputs'!$B$72:$B$96,0),MATCH('Prototype Exhibit'!D$2,'Prototype Inputs'!$C$71:$G$71,0))</f>
        <v>593513</v>
      </c>
      <c r="E11" s="280">
        <f>INDEX('Prototype Inputs'!$C$72:$G$96,MATCH('Prototype Exhibit'!$A11,'Prototype Inputs'!$B$72:$B$96,0),MATCH('Prototype Exhibit'!E$2,'Prototype Inputs'!$C$71:$G$71,0))</f>
        <v>92225</v>
      </c>
      <c r="F11" s="280">
        <f>INDEX('Prototype Inputs'!$C$72:$G$96,MATCH('Prototype Exhibit'!$A11,'Prototype Inputs'!$B$72:$B$96,0),MATCH('Prototype Exhibit'!F$2,'Prototype Inputs'!$C$71:$G$71,0))</f>
        <v>517650</v>
      </c>
      <c r="G11" s="273" t="str">
        <f>INDEX('Prototype Inputs'!$H$72:$H$96,MATCH('Prototype Exhibit'!$A11,'Prototype Inputs'!$B$72:$B$96,0))</f>
        <v>square feet</v>
      </c>
      <c r="I11" s="205" t="s">
        <v>166</v>
      </c>
      <c r="J11" s="289">
        <f>INDEX('Prototype Inputs'!$C$72:$G$96,MATCH('Prototype Exhibit'!$A11,'Prototype Inputs'!$B$72:$B$96,0),MATCH('Prototype Exhibit'!J$2,'Prototype Inputs'!$C$71:$G$71,0))</f>
        <v>0</v>
      </c>
      <c r="K11" s="289">
        <f>INDEX('Prototype Inputs'!$C$72:$G$96,MATCH('Prototype Exhibit'!$A11,'Prototype Inputs'!$B$72:$B$96,0),MATCH('Prototype Exhibit'!K$2,'Prototype Inputs'!$C$71:$G$71,0))</f>
        <v>0</v>
      </c>
      <c r="L11" s="273" t="str">
        <f>INDEX('Prototype Inputs'!$H$72:$H$96,MATCH('Prototype Exhibit'!$A11,'Prototype Inputs'!$B$72:$B$96,0))</f>
        <v>square feet</v>
      </c>
    </row>
    <row r="12" spans="1:14" x14ac:dyDescent="0.25">
      <c r="A12" s="261" t="s">
        <v>199</v>
      </c>
      <c r="B12" s="261"/>
      <c r="C12" s="117" t="s">
        <v>199</v>
      </c>
      <c r="D12" s="278">
        <f>INDEX('Prototype Inputs'!$C$72:$G$96,MATCH('Prototype Exhibit'!$A12,'Prototype Inputs'!$B$72:$B$96,0),MATCH('Prototype Exhibit'!D$2,'Prototype Inputs'!$C$71:$G$71,0))</f>
        <v>31238</v>
      </c>
      <c r="E12" s="278">
        <f>INDEX('Prototype Inputs'!$C$72:$G$96,MATCH('Prototype Exhibit'!$A12,'Prototype Inputs'!$B$72:$B$96,0),MATCH('Prototype Exhibit'!E$2,'Prototype Inputs'!$C$71:$G$71,0))</f>
        <v>18445</v>
      </c>
      <c r="F12" s="278">
        <f>INDEX('Prototype Inputs'!$C$72:$G$96,MATCH('Prototype Exhibit'!$A12,'Prototype Inputs'!$B$72:$B$96,0),MATCH('Prototype Exhibit'!F$2,'Prototype Inputs'!$C$71:$G$71,0))</f>
        <v>43138</v>
      </c>
      <c r="G12" s="80" t="str">
        <f>INDEX('Prototype Inputs'!$H$72:$H$96,MATCH('Prototype Exhibit'!$A12,'Prototype Inputs'!$B$72:$B$96,0))</f>
        <v>square feet</v>
      </c>
      <c r="I12" s="117" t="s">
        <v>199</v>
      </c>
      <c r="J12" s="287">
        <f>INDEX('Prototype Inputs'!$C$72:$G$96,MATCH('Prototype Exhibit'!$A12,'Prototype Inputs'!$B$72:$B$96,0),MATCH('Prototype Exhibit'!J$2,'Prototype Inputs'!$C$71:$G$71,0))</f>
        <v>110670</v>
      </c>
      <c r="K12" s="287">
        <f>INDEX('Prototype Inputs'!$C$72:$G$96,MATCH('Prototype Exhibit'!$A12,'Prototype Inputs'!$B$72:$B$96,0),MATCH('Prototype Exhibit'!K$2,'Prototype Inputs'!$C$71:$G$71,0))</f>
        <v>560788</v>
      </c>
      <c r="L12" s="80" t="str">
        <f>INDEX('Prototype Inputs'!$H$72:$H$96,MATCH('Prototype Exhibit'!$A12,'Prototype Inputs'!$B$72:$B$96,0))</f>
        <v>square feet</v>
      </c>
    </row>
    <row r="13" spans="1:14" x14ac:dyDescent="0.25">
      <c r="A13" s="260" t="s">
        <v>200</v>
      </c>
      <c r="B13" s="260"/>
      <c r="C13" s="207" t="s">
        <v>200</v>
      </c>
      <c r="D13" s="281">
        <f>INDEX('Prototype Inputs'!$C$72:$G$96,MATCH('Prototype Exhibit'!$A13,'Prototype Inputs'!$B$72:$B$96,0),MATCH('Prototype Exhibit'!D$2,'Prototype Inputs'!$C$71:$G$71,0))</f>
        <v>7</v>
      </c>
      <c r="E13" s="281">
        <f>INDEX('Prototype Inputs'!$C$72:$G$96,MATCH('Prototype Exhibit'!$A13,'Prototype Inputs'!$B$72:$B$96,0),MATCH('Prototype Exhibit'!E$2,'Prototype Inputs'!$C$71:$G$71,0))</f>
        <v>2.1</v>
      </c>
      <c r="F13" s="281">
        <f>INDEX('Prototype Inputs'!$C$72:$G$96,MATCH('Prototype Exhibit'!$A13,'Prototype Inputs'!$B$72:$B$96,0),MATCH('Prototype Exhibit'!F$2,'Prototype Inputs'!$C$71:$G$71,0))</f>
        <v>4.55</v>
      </c>
      <c r="G13" s="273" t="str">
        <f>INDEX('Prototype Inputs'!$H$72:$H$96,MATCH('Prototype Exhibit'!$A13,'Prototype Inputs'!$B$72:$B$96,0))</f>
        <v>square feet</v>
      </c>
      <c r="I13" s="207" t="s">
        <v>200</v>
      </c>
      <c r="J13" s="290">
        <f>INDEX('Prototype Inputs'!$C$72:$G$96,MATCH('Prototype Exhibit'!$A13,'Prototype Inputs'!$B$72:$B$96,0),MATCH('Prototype Exhibit'!J$2,'Prototype Inputs'!$C$71:$G$71,0))</f>
        <v>2.1</v>
      </c>
      <c r="K13" s="290">
        <f>INDEX('Prototype Inputs'!$C$72:$G$96,MATCH('Prototype Exhibit'!$A13,'Prototype Inputs'!$B$72:$B$96,0),MATCH('Prototype Exhibit'!K$2,'Prototype Inputs'!$C$71:$G$71,0))</f>
        <v>4.55</v>
      </c>
      <c r="L13" s="273" t="str">
        <f>INDEX('Prototype Inputs'!$H$72:$H$96,MATCH('Prototype Exhibit'!$A13,'Prototype Inputs'!$B$72:$B$96,0))</f>
        <v>square feet</v>
      </c>
    </row>
    <row r="14" spans="1:14" x14ac:dyDescent="0.25">
      <c r="A14" s="260" t="s">
        <v>201</v>
      </c>
      <c r="B14" s="260"/>
      <c r="C14" s="79" t="s">
        <v>202</v>
      </c>
      <c r="D14" s="278">
        <f>INDEX('Prototype Inputs'!$C$72:$G$96,MATCH('Prototype Exhibit'!$A14,'Prototype Inputs'!$B$72:$B$96,0),MATCH('Prototype Exhibit'!D$2,'Prototype Inputs'!$C$71:$G$71,0))</f>
        <v>243</v>
      </c>
      <c r="E14" s="278">
        <f>INDEX('Prototype Inputs'!$C$72:$G$96,MATCH('Prototype Exhibit'!$A14,'Prototype Inputs'!$B$72:$B$96,0),MATCH('Prototype Exhibit'!E$2,'Prototype Inputs'!$C$71:$G$71,0))</f>
        <v>75</v>
      </c>
      <c r="F14" s="278">
        <f>INDEX('Prototype Inputs'!$C$72:$G$96,MATCH('Prototype Exhibit'!$A14,'Prototype Inputs'!$B$72:$B$96,0),MATCH('Prototype Exhibit'!F$2,'Prototype Inputs'!$C$71:$G$71,0))</f>
        <v>159</v>
      </c>
      <c r="G14" s="80" t="str">
        <f>INDEX('Prototype Inputs'!$H$72:$H$96,MATCH('Prototype Exhibit'!$A14,'Prototype Inputs'!$B$72:$B$96,0))</f>
        <v>feet</v>
      </c>
      <c r="I14" s="79" t="s">
        <v>202</v>
      </c>
      <c r="J14" s="287">
        <f>INDEX('Prototype Inputs'!$C$72:$G$96,MATCH('Prototype Exhibit'!$A14,'Prototype Inputs'!$B$72:$B$96,0),MATCH('Prototype Exhibit'!J$2,'Prototype Inputs'!$C$71:$G$71,0))</f>
        <v>75</v>
      </c>
      <c r="K14" s="287">
        <f>INDEX('Prototype Inputs'!$C$72:$G$96,MATCH('Prototype Exhibit'!$A14,'Prototype Inputs'!$B$72:$B$96,0),MATCH('Prototype Exhibit'!K$2,'Prototype Inputs'!$C$71:$G$71,0))</f>
        <v>159</v>
      </c>
      <c r="L14" s="80" t="str">
        <f>INDEX('Prototype Inputs'!$H$72:$H$96,MATCH('Prototype Exhibit'!$A14,'Prototype Inputs'!$B$72:$B$96,0))</f>
        <v>feet</v>
      </c>
    </row>
    <row r="15" spans="1:14" ht="27.6" x14ac:dyDescent="0.25">
      <c r="A15" s="260" t="s">
        <v>203</v>
      </c>
      <c r="B15" s="260"/>
      <c r="C15" s="271" t="s">
        <v>203</v>
      </c>
      <c r="D15" s="280">
        <f>INDEX('Prototype Inputs'!$C$72:$G$96,MATCH('Prototype Exhibit'!$A15,'Prototype Inputs'!$B$72:$B$96,0),MATCH('Prototype Exhibit'!D$2,'Prototype Inputs'!$C$71:$G$71,0))</f>
        <v>20</v>
      </c>
      <c r="E15" s="280">
        <f>INDEX('Prototype Inputs'!$C$72:$G$96,MATCH('Prototype Exhibit'!$A15,'Prototype Inputs'!$B$72:$B$96,0),MATCH('Prototype Exhibit'!E$2,'Prototype Inputs'!$C$71:$G$71,0))</f>
        <v>6</v>
      </c>
      <c r="F15" s="280">
        <f>INDEX('Prototype Inputs'!$C$72:$G$96,MATCH('Prototype Exhibit'!$A15,'Prototype Inputs'!$B$72:$B$96,0),MATCH('Prototype Exhibit'!F$2,'Prototype Inputs'!$C$71:$G$71,0))</f>
        <v>13</v>
      </c>
      <c r="G15" s="273" t="str">
        <f>INDEX('Prototype Inputs'!$H$72:$H$96,MATCH('Prototype Exhibit'!$A15,'Prototype Inputs'!$B$72:$B$96,0))</f>
        <v>floors</v>
      </c>
      <c r="I15" s="271" t="s">
        <v>203</v>
      </c>
      <c r="J15" s="289">
        <f>INDEX('Prototype Inputs'!$C$72:$G$96,MATCH('Prototype Exhibit'!$A15,'Prototype Inputs'!$B$72:$B$96,0),MATCH('Prototype Exhibit'!J$2,'Prototype Inputs'!$C$71:$G$71,0))</f>
        <v>6</v>
      </c>
      <c r="K15" s="289">
        <f>INDEX('Prototype Inputs'!$C$72:$G$96,MATCH('Prototype Exhibit'!$A15,'Prototype Inputs'!$B$72:$B$96,0),MATCH('Prototype Exhibit'!K$2,'Prototype Inputs'!$C$71:$G$71,0))</f>
        <v>13</v>
      </c>
      <c r="L15" s="273" t="str">
        <f>INDEX('Prototype Inputs'!$H$72:$H$96,MATCH('Prototype Exhibit'!$A15,'Prototype Inputs'!$B$72:$B$96,0))</f>
        <v>floors</v>
      </c>
    </row>
    <row r="16" spans="1:14" ht="27.6" x14ac:dyDescent="0.25">
      <c r="A16" s="260" t="s">
        <v>204</v>
      </c>
      <c r="B16" s="260"/>
      <c r="C16" s="226" t="s">
        <v>205</v>
      </c>
      <c r="D16" s="278">
        <f>INDEX('Prototype Inputs'!$C$72:$G$96,MATCH('Prototype Exhibit'!$A16,'Prototype Inputs'!$B$72:$B$96,0),MATCH('Prototype Exhibit'!D$2,'Prototype Inputs'!$C$71:$G$71,0))</f>
        <v>8</v>
      </c>
      <c r="E16" s="278">
        <f>INDEX('Prototype Inputs'!$C$72:$G$96,MATCH('Prototype Exhibit'!$A16,'Prototype Inputs'!$B$72:$B$96,0),MATCH('Prototype Exhibit'!E$2,'Prototype Inputs'!$C$71:$G$71,0))</f>
        <v>3</v>
      </c>
      <c r="F16" s="278">
        <f>INDEX('Prototype Inputs'!$C$72:$G$96,MATCH('Prototype Exhibit'!$A16,'Prototype Inputs'!$B$72:$B$96,0),MATCH('Prototype Exhibit'!F$2,'Prototype Inputs'!$C$71:$G$71,0))</f>
        <v>5</v>
      </c>
      <c r="G16" s="80" t="str">
        <f>INDEX('Prototype Inputs'!$H$72:$H$96,MATCH('Prototype Exhibit'!$A16,'Prototype Inputs'!$B$72:$B$96,0))</f>
        <v>floors</v>
      </c>
      <c r="I16" s="226" t="s">
        <v>205</v>
      </c>
      <c r="J16" s="287">
        <f>INDEX('Prototype Inputs'!$C$72:$G$96,MATCH('Prototype Exhibit'!$A16,'Prototype Inputs'!$B$72:$B$96,0),MATCH('Prototype Exhibit'!J$2,'Prototype Inputs'!$C$71:$G$71,0))</f>
        <v>4</v>
      </c>
      <c r="K16" s="287">
        <f>INDEX('Prototype Inputs'!$C$72:$G$96,MATCH('Prototype Exhibit'!$A16,'Prototype Inputs'!$B$72:$B$96,0),MATCH('Prototype Exhibit'!K$2,'Prototype Inputs'!$C$71:$G$71,0))</f>
        <v>7</v>
      </c>
      <c r="L16" s="80" t="str">
        <f>INDEX('Prototype Inputs'!$H$72:$H$96,MATCH('Prototype Exhibit'!$A16,'Prototype Inputs'!$B$72:$B$96,0))</f>
        <v>floors</v>
      </c>
    </row>
    <row r="17" spans="1:12" x14ac:dyDescent="0.25">
      <c r="A17" s="259" t="s">
        <v>206</v>
      </c>
      <c r="C17" s="206" t="s">
        <v>206</v>
      </c>
      <c r="D17" s="280">
        <f>INDEX('Prototype Inputs'!$C$98:$G$118,MATCH('Prototype Exhibit'!$A17,'Prototype Inputs'!$B$98:$B$118,0),MATCH('Prototype Exhibit'!D$2,'Prototype Inputs'!$C$71:$G$71,0))</f>
        <v>879</v>
      </c>
      <c r="E17" s="280">
        <f>INDEX('Prototype Inputs'!$C$98:$G$118,MATCH('Prototype Exhibit'!$A17,'Prototype Inputs'!$B$98:$B$118,0),MATCH('Prototype Exhibit'!E$2,'Prototype Inputs'!$C$71:$G$71,0))</f>
        <v>136</v>
      </c>
      <c r="F17" s="280">
        <f>INDEX('Prototype Inputs'!$C$98:$G$118,MATCH('Prototype Exhibit'!$A17,'Prototype Inputs'!$B$98:$B$118,0),MATCH('Prototype Exhibit'!F$2,'Prototype Inputs'!$C$71:$G$71,0))</f>
        <v>766</v>
      </c>
      <c r="G17" s="274" t="str">
        <f>INDEX('Prototype Inputs'!$H$98:$H$118,MATCH('Prototype Exhibit'!$A17,'Prototype Inputs'!$B$98:$B$118,0),MATCH('Prototype Exhibit'!G$4,'Prototype Inputs'!$H$71:$H$71,0))</f>
        <v>units</v>
      </c>
      <c r="H17" s="79"/>
      <c r="I17" s="206" t="s">
        <v>206</v>
      </c>
      <c r="J17" s="289" t="str">
        <f>INDEX('Prototype Inputs'!$C$98:$G$118,MATCH('Prototype Exhibit'!$A17,'Prototype Inputs'!$B$98:$B$118,0),MATCH('Prototype Exhibit'!J$2,'Prototype Inputs'!$C$71:$G$71,0))</f>
        <v>n/a</v>
      </c>
      <c r="K17" s="289" t="str">
        <f>INDEX('Prototype Inputs'!$C$98:$G$118,MATCH('Prototype Exhibit'!$A17,'Prototype Inputs'!$B$98:$B$118,0),MATCH('Prototype Exhibit'!K$2,'Prototype Inputs'!$C$71:$G$71,0))</f>
        <v>n/a</v>
      </c>
      <c r="L17" s="274" t="str">
        <f>INDEX('Prototype Inputs'!$H$98:$H$118,MATCH('Prototype Exhibit'!$A17,'Prototype Inputs'!$B$98:$B$118,0),MATCH('Prototype Exhibit'!L$4,'Prototype Inputs'!$H$71:$H$71,0))</f>
        <v>units</v>
      </c>
    </row>
    <row r="18" spans="1:12" x14ac:dyDescent="0.25">
      <c r="C18" s="1" t="s">
        <v>55</v>
      </c>
      <c r="D18" s="282"/>
      <c r="E18" s="282"/>
      <c r="F18" s="282"/>
      <c r="G18" s="275"/>
      <c r="I18" s="1" t="s">
        <v>55</v>
      </c>
      <c r="J18" s="264"/>
      <c r="K18" s="264"/>
      <c r="L18" s="275"/>
    </row>
    <row r="19" spans="1:12" x14ac:dyDescent="0.25">
      <c r="C19" s="79" t="s">
        <v>146</v>
      </c>
      <c r="D19" s="283">
        <f>INDEX('Prototype Inputs'!$C$98:$G$118,MATCH('Prototype Exhibit'!$C19,'Prototype Inputs'!$B$98:$B$118,0),MATCH('Prototype Exhibit'!D$2,'Prototype Inputs'!$C$71:$G$71,0))</f>
        <v>0.3</v>
      </c>
      <c r="E19" s="283">
        <f>INDEX('Prototype Inputs'!$C$98:$G$118,MATCH('Prototype Exhibit'!$C19,'Prototype Inputs'!$B$98:$B$118,0),MATCH('Prototype Exhibit'!E$2,'Prototype Inputs'!$C$71:$G$71,0))</f>
        <v>0.3</v>
      </c>
      <c r="F19" s="283">
        <f>INDEX('Prototype Inputs'!$C$98:$G$118,MATCH('Prototype Exhibit'!$C19,'Prototype Inputs'!$B$98:$B$118,0),MATCH('Prototype Exhibit'!F$2,'Prototype Inputs'!$C$71:$G$71,0))</f>
        <v>0.3</v>
      </c>
      <c r="G19" s="210" t="str">
        <f>INDEX('Prototype Inputs'!$H$98:$H$118,MATCH('Prototype Exhibit'!$C19,'Prototype Inputs'!$B$98:$B$118,0),MATCH('Prototype Exhibit'!G$4,'Prototype Inputs'!$H$71:$H$71,0))</f>
        <v>of total units</v>
      </c>
      <c r="H19" s="79"/>
      <c r="I19" s="79" t="s">
        <v>146</v>
      </c>
      <c r="J19" s="265" t="str">
        <f>INDEX('Prototype Inputs'!$C$98:$G$118,MATCH('Prototype Exhibit'!$C19,'Prototype Inputs'!$B$98:$B$118,0),MATCH('Prototype Exhibit'!J$2,'Prototype Inputs'!$C$71:$G$71,0))</f>
        <v>n/a</v>
      </c>
      <c r="K19" s="265" t="str">
        <f>INDEX('Prototype Inputs'!$C$98:$G$118,MATCH('Prototype Exhibit'!$C19,'Prototype Inputs'!$B$98:$B$118,0),MATCH('Prototype Exhibit'!K$2,'Prototype Inputs'!$C$71:$G$71,0))</f>
        <v>n/a</v>
      </c>
      <c r="L19" s="210" t="str">
        <f>INDEX('Prototype Inputs'!$H$98:$H$118,MATCH('Prototype Exhibit'!$C19,'Prototype Inputs'!$B$98:$B$118,0),MATCH('Prototype Exhibit'!L$4,'Prototype Inputs'!$H$71:$H$71,0))</f>
        <v>of total units</v>
      </c>
    </row>
    <row r="20" spans="1:12" x14ac:dyDescent="0.25">
      <c r="C20" s="53" t="s">
        <v>148</v>
      </c>
      <c r="D20" s="284">
        <f>INDEX('Prototype Inputs'!$C$98:$G$118,MATCH('Prototype Exhibit'!$C20,'Prototype Inputs'!$B$98:$B$118,0),MATCH('Prototype Exhibit'!D$2,'Prototype Inputs'!$C$71:$G$71,0))</f>
        <v>0.6</v>
      </c>
      <c r="E20" s="284">
        <f>INDEX('Prototype Inputs'!$C$98:$G$118,MATCH('Prototype Exhibit'!$C20,'Prototype Inputs'!$B$98:$B$118,0),MATCH('Prototype Exhibit'!E$2,'Prototype Inputs'!$C$71:$G$71,0))</f>
        <v>0.6</v>
      </c>
      <c r="F20" s="284">
        <f>INDEX('Prototype Inputs'!$C$98:$G$118,MATCH('Prototype Exhibit'!$C20,'Prototype Inputs'!$B$98:$B$118,0),MATCH('Prototype Exhibit'!F$2,'Prototype Inputs'!$C$71:$G$71,0))</f>
        <v>0.6</v>
      </c>
      <c r="G20" s="276" t="str">
        <f>INDEX('Prototype Inputs'!$H$98:$H$118,MATCH('Prototype Exhibit'!$C20,'Prototype Inputs'!$B$98:$B$118,0),MATCH('Prototype Exhibit'!G$4,'Prototype Inputs'!$H$71:$H$71,0))</f>
        <v>of total units</v>
      </c>
      <c r="H20" s="79"/>
      <c r="I20" s="53" t="s">
        <v>148</v>
      </c>
      <c r="J20" s="266" t="str">
        <f>INDEX('Prototype Inputs'!$C$98:$G$118,MATCH('Prototype Exhibit'!$C20,'Prototype Inputs'!$B$98:$B$118,0),MATCH('Prototype Exhibit'!J$2,'Prototype Inputs'!$C$71:$G$71,0))</f>
        <v>n/a</v>
      </c>
      <c r="K20" s="266" t="str">
        <f>INDEX('Prototype Inputs'!$C$98:$G$118,MATCH('Prototype Exhibit'!$C20,'Prototype Inputs'!$B$98:$B$118,0),MATCH('Prototype Exhibit'!K$2,'Prototype Inputs'!$C$71:$G$71,0))</f>
        <v>n/a</v>
      </c>
      <c r="L20" s="276" t="str">
        <f>INDEX('Prototype Inputs'!$H$98:$H$118,MATCH('Prototype Exhibit'!$C20,'Prototype Inputs'!$B$98:$B$118,0),MATCH('Prototype Exhibit'!L$4,'Prototype Inputs'!$H$71:$H$71,0))</f>
        <v>of total units</v>
      </c>
    </row>
    <row r="21" spans="1:12" x14ac:dyDescent="0.25">
      <c r="C21" s="79" t="s">
        <v>149</v>
      </c>
      <c r="D21" s="283">
        <f>INDEX('Prototype Inputs'!$C$98:$G$118,MATCH('Prototype Exhibit'!$C21,'Prototype Inputs'!$B$98:$B$118,0),MATCH('Prototype Exhibit'!D$2,'Prototype Inputs'!$C$71:$G$71,0))</f>
        <v>0.1</v>
      </c>
      <c r="E21" s="283">
        <f>INDEX('Prototype Inputs'!$C$98:$G$118,MATCH('Prototype Exhibit'!$C21,'Prototype Inputs'!$B$98:$B$118,0),MATCH('Prototype Exhibit'!E$2,'Prototype Inputs'!$C$71:$G$71,0))</f>
        <v>0.1</v>
      </c>
      <c r="F21" s="283">
        <f>INDEX('Prototype Inputs'!$C$98:$G$118,MATCH('Prototype Exhibit'!$C21,'Prototype Inputs'!$B$98:$B$118,0),MATCH('Prototype Exhibit'!F$2,'Prototype Inputs'!$C$71:$G$71,0))</f>
        <v>0.1</v>
      </c>
      <c r="G21" s="210" t="str">
        <f>INDEX('Prototype Inputs'!$H$98:$H$118,MATCH('Prototype Exhibit'!$C21,'Prototype Inputs'!$B$98:$B$118,0),MATCH('Prototype Exhibit'!G$4,'Prototype Inputs'!$H$71:$H$71,0))</f>
        <v>of total units</v>
      </c>
      <c r="H21" s="79"/>
      <c r="I21" s="79" t="s">
        <v>149</v>
      </c>
      <c r="J21" s="265" t="str">
        <f>INDEX('Prototype Inputs'!$C$98:$G$118,MATCH('Prototype Exhibit'!$C21,'Prototype Inputs'!$B$98:$B$118,0),MATCH('Prototype Exhibit'!J$2,'Prototype Inputs'!$C$71:$G$71,0))</f>
        <v>n/a</v>
      </c>
      <c r="K21" s="265" t="str">
        <f>INDEX('Prototype Inputs'!$C$98:$G$118,MATCH('Prototype Exhibit'!$C21,'Prototype Inputs'!$B$98:$B$118,0),MATCH('Prototype Exhibit'!K$2,'Prototype Inputs'!$C$71:$G$71,0))</f>
        <v>n/a</v>
      </c>
      <c r="L21" s="210" t="str">
        <f>INDEX('Prototype Inputs'!$H$98:$H$118,MATCH('Prototype Exhibit'!$C21,'Prototype Inputs'!$B$98:$B$118,0),MATCH('Prototype Exhibit'!L$4,'Prototype Inputs'!$H$71:$H$71,0))</f>
        <v>of total units</v>
      </c>
    </row>
    <row r="22" spans="1:12" x14ac:dyDescent="0.25">
      <c r="C22" s="53" t="s">
        <v>150</v>
      </c>
      <c r="D22" s="284">
        <f>INDEX('Prototype Inputs'!$C$98:$G$118,MATCH('Prototype Exhibit'!$C22,'Prototype Inputs'!$B$98:$B$118,0),MATCH('Prototype Exhibit'!D$2,'Prototype Inputs'!$C$71:$G$71,0))</f>
        <v>0</v>
      </c>
      <c r="E22" s="284">
        <f>INDEX('Prototype Inputs'!$C$98:$G$118,MATCH('Prototype Exhibit'!$C22,'Prototype Inputs'!$B$98:$B$118,0),MATCH('Prototype Exhibit'!E$2,'Prototype Inputs'!$C$71:$G$71,0))</f>
        <v>0</v>
      </c>
      <c r="F22" s="284">
        <f>INDEX('Prototype Inputs'!$C$98:$G$118,MATCH('Prototype Exhibit'!$C22,'Prototype Inputs'!$B$98:$B$118,0),MATCH('Prototype Exhibit'!F$2,'Prototype Inputs'!$C$71:$G$71,0))</f>
        <v>0</v>
      </c>
      <c r="G22" s="276" t="str">
        <f>INDEX('Prototype Inputs'!$H$98:$H$118,MATCH('Prototype Exhibit'!$C22,'Prototype Inputs'!$B$98:$B$118,0),MATCH('Prototype Exhibit'!G$4,'Prototype Inputs'!$H$71:$H$71,0))</f>
        <v>of total units</v>
      </c>
      <c r="H22" s="79"/>
      <c r="I22" s="53" t="s">
        <v>150</v>
      </c>
      <c r="J22" s="266" t="str">
        <f>INDEX('Prototype Inputs'!$C$98:$G$118,MATCH('Prototype Exhibit'!$C22,'Prototype Inputs'!$B$98:$B$118,0),MATCH('Prototype Exhibit'!J$2,'Prototype Inputs'!$C$71:$G$71,0))</f>
        <v>n/a</v>
      </c>
      <c r="K22" s="266" t="str">
        <f>INDEX('Prototype Inputs'!$C$98:$G$118,MATCH('Prototype Exhibit'!$C22,'Prototype Inputs'!$B$98:$B$118,0),MATCH('Prototype Exhibit'!K$2,'Prototype Inputs'!$C$71:$G$71,0))</f>
        <v>n/a</v>
      </c>
      <c r="L22" s="276" t="str">
        <f>INDEX('Prototype Inputs'!$H$98:$H$118,MATCH('Prototype Exhibit'!$C22,'Prototype Inputs'!$B$98:$B$118,0),MATCH('Prototype Exhibit'!L$4,'Prototype Inputs'!$H$71:$H$71,0))</f>
        <v>of total units</v>
      </c>
    </row>
    <row r="23" spans="1:12" x14ac:dyDescent="0.25">
      <c r="C23" s="1" t="s">
        <v>207</v>
      </c>
      <c r="D23" s="282"/>
      <c r="E23" s="282"/>
      <c r="F23" s="282"/>
      <c r="G23" s="275"/>
      <c r="I23" s="1" t="s">
        <v>156</v>
      </c>
      <c r="J23" s="264"/>
      <c r="K23" s="264"/>
      <c r="L23" s="275"/>
    </row>
    <row r="24" spans="1:12" x14ac:dyDescent="0.25">
      <c r="C24" s="79" t="s">
        <v>166</v>
      </c>
      <c r="D24" s="584">
        <f>INDEX('Prototype Inputs'!$C$98:$G$118,MATCH('Prototype Exhibit'!$C24,'Prototype Inputs'!$B$98:$B$118,0),MATCH('Prototype Exhibit'!D$2,'Prototype Inputs'!$C$71:$G$71,0))</f>
        <v>0.96499999999999997</v>
      </c>
      <c r="E24" s="584">
        <f>INDEX('Prototype Inputs'!$C$98:$G$118,MATCH('Prototype Exhibit'!$C24,'Prototype Inputs'!$B$98:$B$118,0),MATCH('Prototype Exhibit'!E$2,'Prototype Inputs'!$C$71:$G$71,0))</f>
        <v>0.87</v>
      </c>
      <c r="F24" s="584">
        <f>INDEX('Prototype Inputs'!$C$98:$G$118,MATCH('Prototype Exhibit'!$C24,'Prototype Inputs'!$B$98:$B$118,0),MATCH('Prototype Exhibit'!F$2,'Prototype Inputs'!$C$71:$G$71,0))</f>
        <v>0.94499999999999995</v>
      </c>
      <c r="G24" s="210" t="str">
        <f>INDEX('Prototype Inputs'!$H$98:$H$118,MATCH('Prototype Exhibit'!$C24,'Prototype Inputs'!$B$98:$B$118,0),MATCH('Prototype Exhibit'!G$4,'Prototype Inputs'!$H$71:$H$71,0))</f>
        <v>per unit</v>
      </c>
      <c r="H24" s="79"/>
      <c r="I24" s="79" t="s">
        <v>166</v>
      </c>
      <c r="J24" s="267" t="str">
        <f>INDEX('Prototype Inputs'!$C$98:$G$118,MATCH('Prototype Exhibit'!$C24,'Prototype Inputs'!$B$98:$B$118,0),MATCH('Prototype Exhibit'!J$2,'Prototype Inputs'!$C$71:$G$71,0))</f>
        <v>n/a</v>
      </c>
      <c r="K24" s="267" t="str">
        <f>INDEX('Prototype Inputs'!$C$98:$G$118,MATCH('Prototype Exhibit'!$C24,'Prototype Inputs'!$B$98:$B$118,0),MATCH('Prototype Exhibit'!K$2,'Prototype Inputs'!$C$71:$G$71,0))</f>
        <v>n/a</v>
      </c>
      <c r="L24" s="210" t="str">
        <f>INDEX('Prototype Inputs'!$H$98:$H$118,MATCH('Prototype Exhibit'!$C24,'Prototype Inputs'!$B$98:$B$118,0),MATCH('Prototype Exhibit'!L$4,'Prototype Inputs'!$H$71:$H$71,0))</f>
        <v>per unit</v>
      </c>
    </row>
    <row r="25" spans="1:12" x14ac:dyDescent="0.25">
      <c r="C25" s="53" t="s">
        <v>162</v>
      </c>
      <c r="D25" s="285">
        <f>INDEX('Prototype Inputs'!$C$98:$G$118,MATCH('Prototype Exhibit'!$C25,'Prototype Inputs'!$B$98:$B$118,0),MATCH('Prototype Exhibit'!D$2,'Prototype Inputs'!$C$71:$G$71,0))</f>
        <v>1</v>
      </c>
      <c r="E25" s="285">
        <f>INDEX('Prototype Inputs'!$C$98:$G$118,MATCH('Prototype Exhibit'!$C25,'Prototype Inputs'!$B$98:$B$118,0),MATCH('Prototype Exhibit'!E$2,'Prototype Inputs'!$C$71:$G$71,0))</f>
        <v>1</v>
      </c>
      <c r="F25" s="285">
        <f>INDEX('Prototype Inputs'!$C$98:$G$118,MATCH('Prototype Exhibit'!$C25,'Prototype Inputs'!$B$98:$B$118,0),MATCH('Prototype Exhibit'!F$2,'Prototype Inputs'!$C$71:$G$71,0))</f>
        <v>1</v>
      </c>
      <c r="G25" s="276" t="str">
        <f>INDEX('Prototype Inputs'!$H$98:$H$118,MATCH('Prototype Exhibit'!$C25,'Prototype Inputs'!$B$98:$B$118,0),MATCH('Prototype Exhibit'!G$4,'Prototype Inputs'!$H$71:$H$71,0))</f>
        <v>units per 1,000 sf</v>
      </c>
      <c r="H25" s="79"/>
      <c r="I25" s="53" t="s">
        <v>162</v>
      </c>
      <c r="J25" s="268">
        <f>INDEX('Prototype Inputs'!$C$98:$G$118,MATCH('Prototype Exhibit'!$C25,'Prototype Inputs'!$B$98:$B$118,0),MATCH('Prototype Exhibit'!J$2,'Prototype Inputs'!$C$71:$G$71,0))</f>
        <v>1</v>
      </c>
      <c r="K25" s="268">
        <f>INDEX('Prototype Inputs'!$C$98:$G$118,MATCH('Prototype Exhibit'!$C25,'Prototype Inputs'!$B$98:$B$118,0),MATCH('Prototype Exhibit'!K$2,'Prototype Inputs'!$C$71:$G$71,0))</f>
        <v>1</v>
      </c>
      <c r="L25" s="276" t="str">
        <f>INDEX('Prototype Inputs'!$H$98:$H$118,MATCH('Prototype Exhibit'!$C25,'Prototype Inputs'!$B$98:$B$118,0),MATCH('Prototype Exhibit'!L$4,'Prototype Inputs'!$H$71:$H$71,0))</f>
        <v>units per 1,000 sf</v>
      </c>
    </row>
    <row r="26" spans="1:12" ht="14.4" thickBot="1" x14ac:dyDescent="0.3">
      <c r="C26" s="145" t="s">
        <v>160</v>
      </c>
      <c r="D26" s="286" t="str">
        <f>INDEX('Prototype Inputs'!$C$98:$G$118,MATCH('Prototype Exhibit'!$C26,'Prototype Inputs'!$B$98:$B$118,0),MATCH('Prototype Exhibit'!D$2,'Prototype Inputs'!$C$71:$G$71,0))</f>
        <v>n/a</v>
      </c>
      <c r="E26" s="286" t="str">
        <f>INDEX('Prototype Inputs'!$C$98:$G$118,MATCH('Prototype Exhibit'!$C26,'Prototype Inputs'!$B$98:$B$118,0),MATCH('Prototype Exhibit'!E$2,'Prototype Inputs'!$C$71:$G$71,0))</f>
        <v>n/a</v>
      </c>
      <c r="F26" s="286" t="str">
        <f>INDEX('Prototype Inputs'!$C$98:$G$118,MATCH('Prototype Exhibit'!$C26,'Prototype Inputs'!$B$98:$B$118,0),MATCH('Prototype Exhibit'!F$2,'Prototype Inputs'!$C$71:$G$71,0))</f>
        <v>n/a</v>
      </c>
      <c r="G26" s="277" t="str">
        <f>INDEX('Prototype Inputs'!$H$98:$H$118,MATCH('Prototype Exhibit'!$C26,'Prototype Inputs'!$B$98:$B$118,0),MATCH('Prototype Exhibit'!G$4,'Prototype Inputs'!$H$71:$H$71,0))</f>
        <v>units per 1,000 sf</v>
      </c>
      <c r="H26" s="79"/>
      <c r="I26" s="145" t="s">
        <v>160</v>
      </c>
      <c r="J26" s="269">
        <f>INDEX('Prototype Inputs'!$C$98:$G$118,MATCH('Prototype Exhibit'!$C26,'Prototype Inputs'!$B$98:$B$118,0),MATCH('Prototype Exhibit'!J$2,'Prototype Inputs'!$C$71:$G$71,0))</f>
        <v>2</v>
      </c>
      <c r="K26" s="269">
        <f>INDEX('Prototype Inputs'!$C$98:$G$118,MATCH('Prototype Exhibit'!$C26,'Prototype Inputs'!$B$98:$B$118,0),MATCH('Prototype Exhibit'!K$2,'Prototype Inputs'!$C$71:$G$71,0))</f>
        <v>2</v>
      </c>
      <c r="L26" s="277" t="str">
        <f>INDEX('Prototype Inputs'!$H$98:$H$118,MATCH('Prototype Exhibit'!$C26,'Prototype Inputs'!$B$98:$B$118,0),MATCH('Prototype Exhibit'!L$4,'Prototype Inputs'!$H$71:$H$71,0))</f>
        <v>units per 1,000 sf</v>
      </c>
    </row>
    <row r="28" spans="1:12" ht="14.4" thickBot="1" x14ac:dyDescent="0.3">
      <c r="C28" s="83" t="s">
        <v>208</v>
      </c>
      <c r="I28" s="83" t="s">
        <v>208</v>
      </c>
    </row>
    <row r="29" spans="1:12" ht="41.4" x14ac:dyDescent="0.25">
      <c r="C29" s="263" t="s">
        <v>10</v>
      </c>
      <c r="D29" s="140" t="s">
        <v>125</v>
      </c>
      <c r="E29" s="262" t="s">
        <v>126</v>
      </c>
      <c r="F29" s="262" t="s">
        <v>128</v>
      </c>
      <c r="G29" s="140" t="s">
        <v>145</v>
      </c>
      <c r="H29" s="134"/>
      <c r="I29" s="263" t="s">
        <v>10</v>
      </c>
      <c r="J29" s="262" t="s">
        <v>130</v>
      </c>
      <c r="K29" s="262" t="s">
        <v>132</v>
      </c>
      <c r="L29" s="140" t="s">
        <v>145</v>
      </c>
    </row>
    <row r="30" spans="1:12" x14ac:dyDescent="0.25">
      <c r="C30" s="1" t="s">
        <v>191</v>
      </c>
      <c r="D30" s="47"/>
      <c r="E30" s="47"/>
      <c r="F30" s="47"/>
      <c r="G30" s="47"/>
      <c r="I30" s="1" t="s">
        <v>191</v>
      </c>
      <c r="J30" s="47"/>
      <c r="K30" s="47"/>
      <c r="L30" s="47"/>
    </row>
    <row r="31" spans="1:12" x14ac:dyDescent="0.25">
      <c r="A31" s="260" t="s">
        <v>192</v>
      </c>
      <c r="B31" s="260"/>
      <c r="C31" s="78" t="s">
        <v>192</v>
      </c>
      <c r="D31" s="278">
        <f>INDEX('Prototype Inputs'!$C$136:$G$160,MATCH('Prototype Exhibit'!$A31,'Prototype Inputs'!$B$136:$B$160,0),MATCH('Prototype Exhibit'!D$2,'Prototype Inputs'!$C$71:$G$71,0))</f>
        <v>36750</v>
      </c>
      <c r="E31" s="278">
        <f>INDEX('Prototype Inputs'!$C$136:$G$160,MATCH('Prototype Exhibit'!$A31,'Prototype Inputs'!$B$136:$B$160,0),MATCH('Prototype Exhibit'!E$2,'Prototype Inputs'!$C$71:$G$71,0))</f>
        <v>34100</v>
      </c>
      <c r="F31" s="278">
        <f>INDEX('Prototype Inputs'!$C$136:$G$160,MATCH('Prototype Exhibit'!$A31,'Prototype Inputs'!$B$136:$B$160,0),MATCH('Prototype Exhibit'!F$2,'Prototype Inputs'!$C$71:$G$71,0))</f>
        <v>50750</v>
      </c>
      <c r="G31" s="78" t="str">
        <f>INDEX('Prototype Inputs'!$H$72:$H$96,MATCH('Prototype Exhibit'!$A31,'Prototype Inputs'!$B$72:$B$96,0))</f>
        <v>square feet</v>
      </c>
      <c r="I31" s="78" t="s">
        <v>192</v>
      </c>
      <c r="J31" s="287">
        <f>INDEX('Prototype Inputs'!$C$136:$G$160,MATCH('Prototype Exhibit'!$A31,'Prototype Inputs'!$B$136:$B$160,0),MATCH('Prototype Exhibit'!J$2,'Prototype Inputs'!$C$71:$G$71,0))</f>
        <v>34100</v>
      </c>
      <c r="K31" s="287">
        <f>INDEX('Prototype Inputs'!$C$136:$G$160,MATCH('Prototype Exhibit'!$A31,'Prototype Inputs'!$B$136:$B$160,0),MATCH('Prototype Exhibit'!K$2,'Prototype Inputs'!$C$71:$G$71,0))</f>
        <v>50750</v>
      </c>
      <c r="L31" s="80" t="str">
        <f>INDEX('Prototype Inputs'!$H$72:$H$96,MATCH('Prototype Exhibit'!$A31,'Prototype Inputs'!$B$72:$B$96,0))</f>
        <v>square feet</v>
      </c>
    </row>
    <row r="32" spans="1:12" x14ac:dyDescent="0.25">
      <c r="A32" s="260" t="s">
        <v>193</v>
      </c>
      <c r="B32" s="260"/>
      <c r="C32" s="53" t="s">
        <v>193</v>
      </c>
      <c r="D32" s="279">
        <f>INDEX('Prototype Inputs'!$C$136:$G$160,MATCH('Prototype Exhibit'!$A32,'Prototype Inputs'!$B$136:$B$160,0),MATCH('Prototype Exhibit'!D$2,'Prototype Inputs'!$C$71:$G$71,0))</f>
        <v>105000</v>
      </c>
      <c r="E32" s="279">
        <f>INDEX('Prototype Inputs'!$C$136:$G$160,MATCH('Prototype Exhibit'!$A32,'Prototype Inputs'!$B$136:$B$160,0),MATCH('Prototype Exhibit'!E$2,'Prototype Inputs'!$C$71:$G$71,0))</f>
        <v>62000</v>
      </c>
      <c r="F32" s="279">
        <f>INDEX('Prototype Inputs'!$C$136:$G$160,MATCH('Prototype Exhibit'!$A32,'Prototype Inputs'!$B$136:$B$160,0),MATCH('Prototype Exhibit'!F$2,'Prototype Inputs'!$C$71:$G$71,0))</f>
        <v>145000</v>
      </c>
      <c r="G32" s="54" t="str">
        <f>INDEX('Prototype Inputs'!$H$72:$H$96,MATCH('Prototype Exhibit'!$A32,'Prototype Inputs'!$B$72:$B$96,0))</f>
        <v>square feet</v>
      </c>
      <c r="I32" s="53" t="s">
        <v>193</v>
      </c>
      <c r="J32" s="288">
        <f>INDEX('Prototype Inputs'!$C$136:$G$160,MATCH('Prototype Exhibit'!$A32,'Prototype Inputs'!$B$136:$B$160,0),MATCH('Prototype Exhibit'!J$2,'Prototype Inputs'!$C$71:$G$71,0))</f>
        <v>62000</v>
      </c>
      <c r="K32" s="288">
        <f>INDEX('Prototype Inputs'!$C$136:$G$160,MATCH('Prototype Exhibit'!$A32,'Prototype Inputs'!$B$136:$B$160,0),MATCH('Prototype Exhibit'!K$2,'Prototype Inputs'!$C$71:$G$71,0))</f>
        <v>145000</v>
      </c>
      <c r="L32" s="272" t="str">
        <f>INDEX('Prototype Inputs'!$H$72:$H$96,MATCH('Prototype Exhibit'!$A32,'Prototype Inputs'!$B$72:$B$96,0))</f>
        <v>square feet</v>
      </c>
    </row>
    <row r="33" spans="1:12" ht="27.6" x14ac:dyDescent="0.25">
      <c r="A33" s="260" t="s">
        <v>194</v>
      </c>
      <c r="B33" s="260"/>
      <c r="C33" s="226" t="s">
        <v>195</v>
      </c>
      <c r="D33" s="278">
        <f>INDEX('Prototype Inputs'!$C$136:$G$160,MATCH('Prototype Exhibit'!$A33,'Prototype Inputs'!$B$136:$B$160,0),MATCH('Prototype Exhibit'!D$2,'Prototype Inputs'!$C$71:$G$71,0))</f>
        <v>1359750</v>
      </c>
      <c r="E33" s="278">
        <f>INDEX('Prototype Inputs'!$C$136:$G$160,MATCH('Prototype Exhibit'!$A33,'Prototype Inputs'!$B$136:$B$160,0),MATCH('Prototype Exhibit'!E$2,'Prototype Inputs'!$C$71:$G$71,0))</f>
        <v>204600</v>
      </c>
      <c r="F33" s="278">
        <f>INDEX('Prototype Inputs'!$C$136:$G$160,MATCH('Prototype Exhibit'!$A33,'Prototype Inputs'!$B$136:$B$160,0),MATCH('Prototype Exhibit'!F$2,'Prototype Inputs'!$C$71:$G$71,0))</f>
        <v>1015000</v>
      </c>
      <c r="G33" s="78" t="str">
        <f>INDEX('Prototype Inputs'!$H$72:$H$96,MATCH('Prototype Exhibit'!$A33,'Prototype Inputs'!$B$72:$B$96,0))</f>
        <v>square feet</v>
      </c>
      <c r="I33" s="226" t="s">
        <v>195</v>
      </c>
      <c r="J33" s="287">
        <f>INDEX('Prototype Inputs'!$C$136:$G$160,MATCH('Prototype Exhibit'!$A33,'Prototype Inputs'!$B$136:$B$160,0),MATCH('Prototype Exhibit'!J$2,'Prototype Inputs'!$C$71:$G$71,0))</f>
        <v>204600</v>
      </c>
      <c r="K33" s="287">
        <f>INDEX('Prototype Inputs'!$C$136:$G$160,MATCH('Prototype Exhibit'!$A33,'Prototype Inputs'!$B$136:$B$160,0),MATCH('Prototype Exhibit'!K$2,'Prototype Inputs'!$C$71:$G$71,0))</f>
        <v>1015000</v>
      </c>
      <c r="L33" s="80" t="str">
        <f>INDEX('Prototype Inputs'!$H$72:$H$96,MATCH('Prototype Exhibit'!$A33,'Prototype Inputs'!$B$72:$B$96,0))</f>
        <v>square feet</v>
      </c>
    </row>
    <row r="34" spans="1:12" ht="27.6" x14ac:dyDescent="0.25">
      <c r="A34" s="260" t="s">
        <v>196</v>
      </c>
      <c r="B34" s="260"/>
      <c r="C34" s="271" t="s">
        <v>209</v>
      </c>
      <c r="D34" s="280">
        <f>INDEX('Prototype Inputs'!$C$136:$G$160,MATCH('Prototype Exhibit'!$A34,'Prototype Inputs'!$B$136:$B$160,0),MATCH('Prototype Exhibit'!D$2,'Prototype Inputs'!$C$71:$G$71,0))</f>
        <v>1892425</v>
      </c>
      <c r="E34" s="280">
        <f>INDEX('Prototype Inputs'!$C$136:$G$160,MATCH('Prototype Exhibit'!$A34,'Prototype Inputs'!$B$136:$B$160,0),MATCH('Prototype Exhibit'!E$2,'Prototype Inputs'!$C$71:$G$71,0))</f>
        <v>274475</v>
      </c>
      <c r="F34" s="280">
        <f>INDEX('Prototype Inputs'!$C$136:$G$160,MATCH('Prototype Exhibit'!$A34,'Prototype Inputs'!$B$136:$B$160,0),MATCH('Prototype Exhibit'!F$2,'Prototype Inputs'!$C$71:$G$71,0))</f>
        <v>1401750</v>
      </c>
      <c r="G34" s="206" t="str">
        <f>INDEX('Prototype Inputs'!$H$72:$H$96,MATCH('Prototype Exhibit'!$A34,'Prototype Inputs'!$B$72:$B$96,0))</f>
        <v>square feet</v>
      </c>
      <c r="I34" s="271" t="s">
        <v>209</v>
      </c>
      <c r="J34" s="289">
        <f>INDEX('Prototype Inputs'!$C$136:$G$160,MATCH('Prototype Exhibit'!$A34,'Prototype Inputs'!$B$136:$B$160,0),MATCH('Prototype Exhibit'!J$2,'Prototype Inputs'!$C$71:$G$71,0))</f>
        <v>308275</v>
      </c>
      <c r="K34" s="289">
        <f>INDEX('Prototype Inputs'!$C$136:$G$160,MATCH('Prototype Exhibit'!$A34,'Prototype Inputs'!$B$136:$B$160,0),MATCH('Prototype Exhibit'!K$2,'Prototype Inputs'!$C$71:$G$71,0))</f>
        <v>1561650</v>
      </c>
      <c r="L34" s="273" t="str">
        <f>INDEX('Prototype Inputs'!$H$72:$H$96,MATCH('Prototype Exhibit'!$A34,'Prototype Inputs'!$B$72:$B$96,0))</f>
        <v>square feet</v>
      </c>
    </row>
    <row r="35" spans="1:12" x14ac:dyDescent="0.25">
      <c r="A35" s="260" t="s">
        <v>198</v>
      </c>
      <c r="B35" s="260"/>
      <c r="C35" s="79" t="s">
        <v>198</v>
      </c>
      <c r="D35" s="278">
        <f>INDEX('Prototype Inputs'!$C$136:$G$160,MATCH('Prototype Exhibit'!$A35,'Prototype Inputs'!$B$136:$B$160,0),MATCH('Prototype Exhibit'!D$2,'Prototype Inputs'!$C$71:$G$71,0))</f>
        <v>1155788</v>
      </c>
      <c r="E35" s="278">
        <f>INDEX('Prototype Inputs'!$C$136:$G$160,MATCH('Prototype Exhibit'!$A35,'Prototype Inputs'!$B$136:$B$160,0),MATCH('Prototype Exhibit'!E$2,'Prototype Inputs'!$C$71:$G$71,0))</f>
        <v>173910</v>
      </c>
      <c r="F35" s="278">
        <f>INDEX('Prototype Inputs'!$C$136:$G$160,MATCH('Prototype Exhibit'!$A35,'Prototype Inputs'!$B$136:$B$160,0),MATCH('Prototype Exhibit'!F$2,'Prototype Inputs'!$C$71:$G$71,0))</f>
        <v>862750</v>
      </c>
      <c r="G35" s="78" t="str">
        <f>INDEX('Prototype Inputs'!$H$72:$H$96,MATCH('Prototype Exhibit'!$A35,'Prototype Inputs'!$B$72:$B$96,0))</f>
        <v>square feet</v>
      </c>
      <c r="I35" s="79" t="s">
        <v>198</v>
      </c>
      <c r="J35" s="287">
        <f>INDEX('Prototype Inputs'!$C$136:$G$160,MATCH('Prototype Exhibit'!$A35,'Prototype Inputs'!$B$136:$B$160,0),MATCH('Prototype Exhibit'!J$2,'Prototype Inputs'!$C$71:$G$71,0))</f>
        <v>173910</v>
      </c>
      <c r="K35" s="287">
        <f>INDEX('Prototype Inputs'!$C$136:$G$160,MATCH('Prototype Exhibit'!$A35,'Prototype Inputs'!$B$136:$B$160,0),MATCH('Prototype Exhibit'!K$2,'Prototype Inputs'!$C$71:$G$71,0))</f>
        <v>862750</v>
      </c>
      <c r="L35" s="80" t="str">
        <f>INDEX('Prototype Inputs'!$H$72:$H$96,MATCH('Prototype Exhibit'!$A35,'Prototype Inputs'!$B$72:$B$96,0))</f>
        <v>square feet</v>
      </c>
    </row>
    <row r="36" spans="1:12" x14ac:dyDescent="0.25">
      <c r="A36" s="261" t="s">
        <v>166</v>
      </c>
      <c r="B36" s="261"/>
      <c r="C36" s="205" t="s">
        <v>166</v>
      </c>
      <c r="D36" s="280">
        <f>INDEX('Prototype Inputs'!$C$136:$G$160,MATCH('Prototype Exhibit'!$A36,'Prototype Inputs'!$B$136:$B$160,0),MATCH('Prototype Exhibit'!D$2,'Prototype Inputs'!$C$71:$G$71,0))</f>
        <v>1124550</v>
      </c>
      <c r="E36" s="280">
        <f>INDEX('Prototype Inputs'!$C$136:$G$160,MATCH('Prototype Exhibit'!$A36,'Prototype Inputs'!$B$136:$B$160,0),MATCH('Prototype Exhibit'!E$2,'Prototype Inputs'!$C$71:$G$71,0))</f>
        <v>144925</v>
      </c>
      <c r="F36" s="280">
        <f>INDEX('Prototype Inputs'!$C$136:$G$160,MATCH('Prototype Exhibit'!$A36,'Prototype Inputs'!$B$136:$B$160,0),MATCH('Prototype Exhibit'!F$2,'Prototype Inputs'!$C$71:$G$71,0))</f>
        <v>819613</v>
      </c>
      <c r="G36" s="206" t="str">
        <f>INDEX('Prototype Inputs'!$H$72:$H$96,MATCH('Prototype Exhibit'!$A36,'Prototype Inputs'!$B$72:$B$96,0))</f>
        <v>square feet</v>
      </c>
      <c r="I36" s="205" t="s">
        <v>166</v>
      </c>
      <c r="J36" s="289">
        <f>INDEX('Prototype Inputs'!$C$136:$G$160,MATCH('Prototype Exhibit'!$A36,'Prototype Inputs'!$B$136:$B$160,0),MATCH('Prototype Exhibit'!J$2,'Prototype Inputs'!$C$71:$G$71,0))</f>
        <v>0</v>
      </c>
      <c r="K36" s="289">
        <f>INDEX('Prototype Inputs'!$C$136:$G$160,MATCH('Prototype Exhibit'!$A36,'Prototype Inputs'!$B$136:$B$160,0),MATCH('Prototype Exhibit'!K$2,'Prototype Inputs'!$C$71:$G$71,0))</f>
        <v>0</v>
      </c>
      <c r="L36" s="273" t="str">
        <f>INDEX('Prototype Inputs'!$H$72:$H$96,MATCH('Prototype Exhibit'!$A36,'Prototype Inputs'!$B$72:$B$96,0))</f>
        <v>square feet</v>
      </c>
    </row>
    <row r="37" spans="1:12" x14ac:dyDescent="0.25">
      <c r="A37" s="261" t="s">
        <v>199</v>
      </c>
      <c r="B37" s="261"/>
      <c r="C37" s="117" t="s">
        <v>199</v>
      </c>
      <c r="D37" s="278">
        <f>INDEX('Prototype Inputs'!$C$136:$G$160,MATCH('Prototype Exhibit'!$A37,'Prototype Inputs'!$B$136:$B$160,0),MATCH('Prototype Exhibit'!D$2,'Prototype Inputs'!$C$71:$G$71,0))</f>
        <v>31238</v>
      </c>
      <c r="E37" s="278">
        <f>INDEX('Prototype Inputs'!$C$136:$G$160,MATCH('Prototype Exhibit'!$A37,'Prototype Inputs'!$B$136:$B$160,0),MATCH('Prototype Exhibit'!E$2,'Prototype Inputs'!$C$71:$G$71,0))</f>
        <v>28985</v>
      </c>
      <c r="F37" s="278">
        <f>INDEX('Prototype Inputs'!$C$136:$G$160,MATCH('Prototype Exhibit'!$A37,'Prototype Inputs'!$B$136:$B$160,0),MATCH('Prototype Exhibit'!F$2,'Prototype Inputs'!$C$71:$G$71,0))</f>
        <v>43138</v>
      </c>
      <c r="G37" s="78" t="str">
        <f>INDEX('Prototype Inputs'!$H$72:$H$96,MATCH('Prototype Exhibit'!$A37,'Prototype Inputs'!$B$72:$B$96,0))</f>
        <v>square feet</v>
      </c>
      <c r="I37" s="117" t="s">
        <v>199</v>
      </c>
      <c r="J37" s="287">
        <f>INDEX('Prototype Inputs'!$C$136:$G$160,MATCH('Prototype Exhibit'!$A37,'Prototype Inputs'!$B$136:$B$160,0),MATCH('Prototype Exhibit'!J$2,'Prototype Inputs'!$C$71:$G$71,0))</f>
        <v>173910</v>
      </c>
      <c r="K37" s="287">
        <f>INDEX('Prototype Inputs'!$C$136:$G$160,MATCH('Prototype Exhibit'!$A37,'Prototype Inputs'!$B$136:$B$160,0),MATCH('Prototype Exhibit'!K$2,'Prototype Inputs'!$C$71:$G$71,0))</f>
        <v>862751</v>
      </c>
      <c r="L37" s="80" t="str">
        <f>INDEX('Prototype Inputs'!$H$72:$H$96,MATCH('Prototype Exhibit'!$A37,'Prototype Inputs'!$B$72:$B$96,0))</f>
        <v>square feet</v>
      </c>
    </row>
    <row r="38" spans="1:12" x14ac:dyDescent="0.25">
      <c r="A38" s="260" t="s">
        <v>200</v>
      </c>
      <c r="B38" s="260"/>
      <c r="C38" s="207" t="s">
        <v>200</v>
      </c>
      <c r="D38" s="281">
        <f>INDEX('Prototype Inputs'!$C$136:$G$160,MATCH('Prototype Exhibit'!$A38,'Prototype Inputs'!$B$136:$B$160,0),MATCH('Prototype Exhibit'!D$2,'Prototype Inputs'!$C$71:$G$71,0))</f>
        <v>12.95</v>
      </c>
      <c r="E38" s="281">
        <f>INDEX('Prototype Inputs'!$C$136:$G$160,MATCH('Prototype Exhibit'!$A38,'Prototype Inputs'!$B$136:$B$160,0),MATCH('Prototype Exhibit'!E$2,'Prototype Inputs'!$C$71:$G$71,0))</f>
        <v>3.3</v>
      </c>
      <c r="F38" s="281">
        <f>INDEX('Prototype Inputs'!$C$136:$G$160,MATCH('Prototype Exhibit'!$A38,'Prototype Inputs'!$B$136:$B$160,0),MATCH('Prototype Exhibit'!F$2,'Prototype Inputs'!$C$71:$G$71,0))</f>
        <v>7</v>
      </c>
      <c r="G38" s="206" t="str">
        <f>INDEX('Prototype Inputs'!$H$72:$H$96,MATCH('Prototype Exhibit'!$A38,'Prototype Inputs'!$B$72:$B$96,0))</f>
        <v>square feet</v>
      </c>
      <c r="I38" s="207" t="s">
        <v>200</v>
      </c>
      <c r="J38" s="290">
        <f>INDEX('Prototype Inputs'!$C$136:$G$160,MATCH('Prototype Exhibit'!$A38,'Prototype Inputs'!$B$136:$B$160,0),MATCH('Prototype Exhibit'!J$2,'Prototype Inputs'!$C$71:$G$71,0))</f>
        <v>3.3</v>
      </c>
      <c r="K38" s="290">
        <f>INDEX('Prototype Inputs'!$C$136:$G$160,MATCH('Prototype Exhibit'!$A38,'Prototype Inputs'!$B$136:$B$160,0),MATCH('Prototype Exhibit'!K$2,'Prototype Inputs'!$C$71:$G$71,0))</f>
        <v>7</v>
      </c>
      <c r="L38" s="273" t="str">
        <f>INDEX('Prototype Inputs'!$H$72:$H$96,MATCH('Prototype Exhibit'!$A38,'Prototype Inputs'!$B$72:$B$96,0))</f>
        <v>square feet</v>
      </c>
    </row>
    <row r="39" spans="1:12" x14ac:dyDescent="0.25">
      <c r="A39" s="260" t="s">
        <v>201</v>
      </c>
      <c r="B39" s="260"/>
      <c r="C39" s="79" t="s">
        <v>202</v>
      </c>
      <c r="D39" s="278">
        <f>INDEX('Prototype Inputs'!$C$136:$G$160,MATCH('Prototype Exhibit'!$A39,'Prototype Inputs'!$B$136:$B$160,0),MATCH('Prototype Exhibit'!D$2,'Prototype Inputs'!$C$71:$G$71,0))</f>
        <v>447</v>
      </c>
      <c r="E39" s="278">
        <f>INDEX('Prototype Inputs'!$C$136:$G$160,MATCH('Prototype Exhibit'!$A39,'Prototype Inputs'!$B$136:$B$160,0),MATCH('Prototype Exhibit'!E$2,'Prototype Inputs'!$C$71:$G$71,0))</f>
        <v>75</v>
      </c>
      <c r="F39" s="278">
        <f>INDEX('Prototype Inputs'!$C$136:$G$160,MATCH('Prototype Exhibit'!$A39,'Prototype Inputs'!$B$136:$B$160,0),MATCH('Prototype Exhibit'!F$2,'Prototype Inputs'!$C$71:$G$71,0))</f>
        <v>243</v>
      </c>
      <c r="G39" s="78" t="str">
        <f>INDEX('Prototype Inputs'!$H$72:$H$96,MATCH('Prototype Exhibit'!$A39,'Prototype Inputs'!$B$72:$B$96,0))</f>
        <v>feet</v>
      </c>
      <c r="I39" s="79" t="s">
        <v>202</v>
      </c>
      <c r="J39" s="287">
        <f>INDEX('Prototype Inputs'!$C$136:$G$160,MATCH('Prototype Exhibit'!$A39,'Prototype Inputs'!$B$136:$B$160,0),MATCH('Prototype Exhibit'!J$2,'Prototype Inputs'!$C$71:$G$71,0))</f>
        <v>75</v>
      </c>
      <c r="K39" s="287">
        <f>INDEX('Prototype Inputs'!$C$136:$G$160,MATCH('Prototype Exhibit'!$A39,'Prototype Inputs'!$B$136:$B$160,0),MATCH('Prototype Exhibit'!K$2,'Prototype Inputs'!$C$71:$G$71,0))</f>
        <v>243</v>
      </c>
      <c r="L39" s="80" t="str">
        <f>INDEX('Prototype Inputs'!$H$72:$H$96,MATCH('Prototype Exhibit'!$A39,'Prototype Inputs'!$B$72:$B$96,0))</f>
        <v>feet</v>
      </c>
    </row>
    <row r="40" spans="1:12" ht="27.6" x14ac:dyDescent="0.25">
      <c r="A40" s="260" t="s">
        <v>203</v>
      </c>
      <c r="B40" s="260"/>
      <c r="C40" s="271" t="s">
        <v>203</v>
      </c>
      <c r="D40" s="280">
        <f>INDEX('Prototype Inputs'!$C$136:$G$160,MATCH('Prototype Exhibit'!$A40,'Prototype Inputs'!$B$136:$B$160,0),MATCH('Prototype Exhibit'!D$2,'Prototype Inputs'!$C$71:$G$71,0))</f>
        <v>37</v>
      </c>
      <c r="E40" s="280">
        <f>INDEX('Prototype Inputs'!$C$136:$G$160,MATCH('Prototype Exhibit'!$A40,'Prototype Inputs'!$B$136:$B$160,0),MATCH('Prototype Exhibit'!E$2,'Prototype Inputs'!$C$71:$G$71,0))</f>
        <v>6</v>
      </c>
      <c r="F40" s="280">
        <f>INDEX('Prototype Inputs'!$C$136:$G$160,MATCH('Prototype Exhibit'!$A40,'Prototype Inputs'!$B$136:$B$160,0),MATCH('Prototype Exhibit'!F$2,'Prototype Inputs'!$C$71:$G$71,0))</f>
        <v>20</v>
      </c>
      <c r="G40" s="274" t="str">
        <f>INDEX('Prototype Inputs'!$H$72:$H$96,MATCH('Prototype Exhibit'!$A40,'Prototype Inputs'!$B$72:$B$96,0))</f>
        <v>floors</v>
      </c>
      <c r="I40" s="271" t="s">
        <v>203</v>
      </c>
      <c r="J40" s="289">
        <f>INDEX('Prototype Inputs'!$C$136:$G$160,MATCH('Prototype Exhibit'!$A40,'Prototype Inputs'!$B$136:$B$160,0),MATCH('Prototype Exhibit'!J$2,'Prototype Inputs'!$C$71:$G$71,0))</f>
        <v>6</v>
      </c>
      <c r="K40" s="289">
        <f>INDEX('Prototype Inputs'!$C$136:$G$160,MATCH('Prototype Exhibit'!$A40,'Prototype Inputs'!$B$136:$B$160,0),MATCH('Prototype Exhibit'!K$2,'Prototype Inputs'!$C$71:$G$71,0))</f>
        <v>20</v>
      </c>
      <c r="L40" s="273" t="str">
        <f>INDEX('Prototype Inputs'!$H$72:$H$96,MATCH('Prototype Exhibit'!$A40,'Prototype Inputs'!$B$72:$B$96,0))</f>
        <v>floors</v>
      </c>
    </row>
    <row r="41" spans="1:12" ht="27.6" x14ac:dyDescent="0.25">
      <c r="A41" s="260" t="s">
        <v>204</v>
      </c>
      <c r="B41" s="260"/>
      <c r="C41" s="226" t="s">
        <v>205</v>
      </c>
      <c r="D41" s="278">
        <f>INDEX('Prototype Inputs'!$C$136:$G$160,MATCH('Prototype Exhibit'!$A41,'Prototype Inputs'!$B$136:$B$160,0),MATCH('Prototype Exhibit'!D$2,'Prototype Inputs'!$C$71:$G$71,0))</f>
        <v>15</v>
      </c>
      <c r="E41" s="278">
        <f>INDEX('Prototype Inputs'!$C$136:$G$160,MATCH('Prototype Exhibit'!$A41,'Prototype Inputs'!$B$136:$B$160,0),MATCH('Prototype Exhibit'!E$2,'Prototype Inputs'!$C$71:$G$71,0))</f>
        <v>3</v>
      </c>
      <c r="F41" s="278">
        <f>INDEX('Prototype Inputs'!$C$136:$G$160,MATCH('Prototype Exhibit'!$A41,'Prototype Inputs'!$B$136:$B$160,0),MATCH('Prototype Exhibit'!F$2,'Prototype Inputs'!$C$71:$G$71,0))</f>
        <v>8</v>
      </c>
      <c r="G41" s="80" t="str">
        <f>INDEX('Prototype Inputs'!$H$72:$H$96,MATCH('Prototype Exhibit'!$A41,'Prototype Inputs'!$B$72:$B$96,0))</f>
        <v>floors</v>
      </c>
      <c r="I41" s="226" t="s">
        <v>205</v>
      </c>
      <c r="J41" s="287">
        <f>INDEX('Prototype Inputs'!$C$136:$G$160,MATCH('Prototype Exhibit'!$A41,'Prototype Inputs'!$B$136:$B$160,0),MATCH('Prototype Exhibit'!J$2,'Prototype Inputs'!$C$71:$G$71,0))</f>
        <v>4</v>
      </c>
      <c r="K41" s="287">
        <f>INDEX('Prototype Inputs'!$C$136:$G$160,MATCH('Prototype Exhibit'!$A41,'Prototype Inputs'!$B$136:$B$160,0),MATCH('Prototype Exhibit'!K$2,'Prototype Inputs'!$C$71:$G$71,0))</f>
        <v>11</v>
      </c>
      <c r="L41" s="80" t="str">
        <f>INDEX('Prototype Inputs'!$H$72:$H$96,MATCH('Prototype Exhibit'!$A41,'Prototype Inputs'!$B$72:$B$96,0))</f>
        <v>floors</v>
      </c>
    </row>
    <row r="42" spans="1:12" x14ac:dyDescent="0.25">
      <c r="A42" s="259" t="s">
        <v>206</v>
      </c>
      <c r="C42" s="206" t="s">
        <v>206</v>
      </c>
      <c r="D42" s="280">
        <f>INDEX('Prototype Inputs'!$C$136:$G$162,MATCH('Prototype Exhibit'!$A42,'Prototype Inputs'!$B$136:$B$162,0),MATCH('Prototype Exhibit'!D$2,'Prototype Inputs'!$C$71:$G$71,0))</f>
        <v>1666</v>
      </c>
      <c r="E42" s="280">
        <f>INDEX('Prototype Inputs'!$C$136:$G$162,MATCH('Prototype Exhibit'!$A42,'Prototype Inputs'!$B$136:$B$162,0),MATCH('Prototype Exhibit'!E$2,'Prototype Inputs'!$C$71:$G$71,0))</f>
        <v>214</v>
      </c>
      <c r="F42" s="280">
        <f>INDEX('Prototype Inputs'!$C$136:$G$162,MATCH('Prototype Exhibit'!$A42,'Prototype Inputs'!$B$136:$B$162,0),MATCH('Prototype Exhibit'!F$2,'Prototype Inputs'!$C$71:$G$71,0))</f>
        <v>1214</v>
      </c>
      <c r="G42" s="207" t="str">
        <f>INDEX('Prototype Inputs'!$H$98:$H$118,MATCH('Prototype Exhibit'!$A42,'Prototype Inputs'!$B$98:$B$118,0),MATCH('Prototype Exhibit'!G$4,'Prototype Inputs'!$H$71:$H$71,0))</f>
        <v>units</v>
      </c>
      <c r="I42" s="206" t="s">
        <v>206</v>
      </c>
      <c r="J42" s="289" t="str">
        <f>INDEX('Prototype Inputs'!$C$136:$G$164,MATCH('Prototype Exhibit'!$A42,'Prototype Inputs'!$B$136:$B$162,0),MATCH('Prototype Exhibit'!J$2,'Prototype Inputs'!$C$71:$G$71,0))</f>
        <v>n/a</v>
      </c>
      <c r="K42" s="289" t="str">
        <f>INDEX('Prototype Inputs'!$C$136:$G$164,MATCH('Prototype Exhibit'!$A42,'Prototype Inputs'!$B$136:$B$162,0),MATCH('Prototype Exhibit'!K$2,'Prototype Inputs'!$C$71:$G$71,0))</f>
        <v>n/a</v>
      </c>
      <c r="L42" s="274" t="str">
        <f>INDEX('Prototype Inputs'!$H$98:$H$118,MATCH('Prototype Exhibit'!$A42,'Prototype Inputs'!$B$98:$B$118,0),MATCH('Prototype Exhibit'!L$4,'Prototype Inputs'!$H$71:$H$71,0))</f>
        <v>units</v>
      </c>
    </row>
    <row r="43" spans="1:12" x14ac:dyDescent="0.25">
      <c r="C43" s="1" t="s">
        <v>55</v>
      </c>
      <c r="D43" s="47"/>
      <c r="E43" s="47"/>
      <c r="F43" s="47"/>
      <c r="G43" s="47"/>
      <c r="I43" s="1" t="s">
        <v>55</v>
      </c>
      <c r="J43" s="264"/>
      <c r="K43" s="264"/>
      <c r="L43" s="275"/>
    </row>
    <row r="44" spans="1:12" x14ac:dyDescent="0.25">
      <c r="C44" s="79" t="s">
        <v>146</v>
      </c>
      <c r="D44" s="323">
        <f>INDEX('Prototype Inputs'!$C$162:$G$182,MATCH('Prototype Exhibit'!$C44,'Prototype Inputs'!$B$162:$B$182,0),MATCH('Prototype Exhibit'!D$2,'Prototype Inputs'!$C$71:$G$71,0))</f>
        <v>0.3</v>
      </c>
      <c r="E44" s="323">
        <f>INDEX('Prototype Inputs'!$C$162:$G$182,MATCH('Prototype Exhibit'!$C44,'Prototype Inputs'!$B$162:$B$182,0),MATCH('Prototype Exhibit'!E$2,'Prototype Inputs'!$C$71:$G$71,0))</f>
        <v>0.3</v>
      </c>
      <c r="F44" s="323">
        <f>INDEX('Prototype Inputs'!$C$162:$G$182,MATCH('Prototype Exhibit'!$C44,'Prototype Inputs'!$B$162:$B$182,0),MATCH('Prototype Exhibit'!F$2,'Prototype Inputs'!$C$71:$G$71,0))</f>
        <v>0.3</v>
      </c>
      <c r="G44" s="79" t="str">
        <f>INDEX('Prototype Inputs'!$H$98:$H$118,MATCH('Prototype Exhibit'!$C44,'Prototype Inputs'!$B$98:$B$118,0),MATCH('Prototype Exhibit'!G$4,'Prototype Inputs'!$H$71:$H$71,0))</f>
        <v>of total units</v>
      </c>
      <c r="H44" s="79"/>
      <c r="I44" s="79" t="s">
        <v>146</v>
      </c>
      <c r="J44" s="265" t="str">
        <f>INDEX('Prototype Inputs'!$C$162:$G$182,MATCH('Prototype Exhibit'!$C44,'Prototype Inputs'!$B$162:$B$182,0),MATCH('Prototype Exhibit'!J$2,'Prototype Inputs'!$C$71:$G$71,0))</f>
        <v>n/a</v>
      </c>
      <c r="K44" s="265" t="str">
        <f>INDEX('Prototype Inputs'!$C$162:$G$182,MATCH('Prototype Exhibit'!$C44,'Prototype Inputs'!$B$162:$B$182,0),MATCH('Prototype Exhibit'!K$2,'Prototype Inputs'!$C$71:$G$71,0))</f>
        <v>n/a</v>
      </c>
      <c r="L44" s="210" t="str">
        <f>INDEX('Prototype Inputs'!$H$98:$H$118,MATCH('Prototype Exhibit'!$C44,'Prototype Inputs'!$B$98:$B$118,0),MATCH('Prototype Exhibit'!L$4,'Prototype Inputs'!$H$71:$H$71,0))</f>
        <v>of total units</v>
      </c>
    </row>
    <row r="45" spans="1:12" x14ac:dyDescent="0.25">
      <c r="C45" s="53" t="s">
        <v>148</v>
      </c>
      <c r="D45" s="324">
        <f>INDEX('Prototype Inputs'!$C$162:$G$182,MATCH('Prototype Exhibit'!$C45,'Prototype Inputs'!$B$162:$B$182,0),MATCH('Prototype Exhibit'!D$2,'Prototype Inputs'!$C$71:$G$71,0))</f>
        <v>0.6</v>
      </c>
      <c r="E45" s="324">
        <f>INDEX('Prototype Inputs'!$C$162:$G$182,MATCH('Prototype Exhibit'!$C45,'Prototype Inputs'!$B$162:$B$182,0),MATCH('Prototype Exhibit'!E$2,'Prototype Inputs'!$C$71:$G$71,0))</f>
        <v>0.6</v>
      </c>
      <c r="F45" s="324">
        <f>INDEX('Prototype Inputs'!$C$162:$G$182,MATCH('Prototype Exhibit'!$C45,'Prototype Inputs'!$B$162:$B$182,0),MATCH('Prototype Exhibit'!F$2,'Prototype Inputs'!$C$71:$G$71,0))</f>
        <v>0.6</v>
      </c>
      <c r="G45" s="53" t="str">
        <f>INDEX('Prototype Inputs'!$H$98:$H$118,MATCH('Prototype Exhibit'!$C45,'Prototype Inputs'!$B$98:$B$118,0),MATCH('Prototype Exhibit'!G$4,'Prototype Inputs'!$H$71:$H$71,0))</f>
        <v>of total units</v>
      </c>
      <c r="H45" s="79"/>
      <c r="I45" s="53" t="s">
        <v>148</v>
      </c>
      <c r="J45" s="266" t="str">
        <f>INDEX('Prototype Inputs'!$C$162:$G$182,MATCH('Prototype Exhibit'!$C45,'Prototype Inputs'!$B$162:$B$182,0),MATCH('Prototype Exhibit'!J$2,'Prototype Inputs'!$C$71:$G$71,0))</f>
        <v>n/a</v>
      </c>
      <c r="K45" s="266" t="str">
        <f>INDEX('Prototype Inputs'!$C$162:$G$182,MATCH('Prototype Exhibit'!$C45,'Prototype Inputs'!$B$162:$B$182,0),MATCH('Prototype Exhibit'!K$2,'Prototype Inputs'!$C$71:$G$71,0))</f>
        <v>n/a</v>
      </c>
      <c r="L45" s="276" t="str">
        <f>INDEX('Prototype Inputs'!$H$98:$H$118,MATCH('Prototype Exhibit'!$C45,'Prototype Inputs'!$B$98:$B$118,0),MATCH('Prototype Exhibit'!L$4,'Prototype Inputs'!$H$71:$H$71,0))</f>
        <v>of total units</v>
      </c>
    </row>
    <row r="46" spans="1:12" x14ac:dyDescent="0.25">
      <c r="C46" s="79" t="s">
        <v>149</v>
      </c>
      <c r="D46" s="323">
        <f>INDEX('Prototype Inputs'!$C$162:$G$182,MATCH('Prototype Exhibit'!$C46,'Prototype Inputs'!$B$162:$B$182,0),MATCH('Prototype Exhibit'!D$2,'Prototype Inputs'!$C$71:$G$71,0))</f>
        <v>0.1</v>
      </c>
      <c r="E46" s="323">
        <f>INDEX('Prototype Inputs'!$C$162:$G$182,MATCH('Prototype Exhibit'!$C46,'Prototype Inputs'!$B$162:$B$182,0),MATCH('Prototype Exhibit'!E$2,'Prototype Inputs'!$C$71:$G$71,0))</f>
        <v>0.1</v>
      </c>
      <c r="F46" s="323">
        <f>INDEX('Prototype Inputs'!$C$162:$G$182,MATCH('Prototype Exhibit'!$C46,'Prototype Inputs'!$B$162:$B$182,0),MATCH('Prototype Exhibit'!F$2,'Prototype Inputs'!$C$71:$G$71,0))</f>
        <v>0.1</v>
      </c>
      <c r="G46" s="79" t="str">
        <f>INDEX('Prototype Inputs'!$H$98:$H$118,MATCH('Prototype Exhibit'!$C46,'Prototype Inputs'!$B$98:$B$118,0),MATCH('Prototype Exhibit'!G$4,'Prototype Inputs'!$H$71:$H$71,0))</f>
        <v>of total units</v>
      </c>
      <c r="H46" s="79"/>
      <c r="I46" s="79" t="s">
        <v>149</v>
      </c>
      <c r="J46" s="265" t="str">
        <f>INDEX('Prototype Inputs'!$C$162:$G$182,MATCH('Prototype Exhibit'!$C46,'Prototype Inputs'!$B$162:$B$182,0),MATCH('Prototype Exhibit'!J$2,'Prototype Inputs'!$C$71:$G$71,0))</f>
        <v>n/a</v>
      </c>
      <c r="K46" s="265" t="str">
        <f>INDEX('Prototype Inputs'!$C$162:$G$182,MATCH('Prototype Exhibit'!$C46,'Prototype Inputs'!$B$162:$B$182,0),MATCH('Prototype Exhibit'!K$2,'Prototype Inputs'!$C$71:$G$71,0))</f>
        <v>n/a</v>
      </c>
      <c r="L46" s="210" t="str">
        <f>INDEX('Prototype Inputs'!$H$98:$H$118,MATCH('Prototype Exhibit'!$C46,'Prototype Inputs'!$B$98:$B$118,0),MATCH('Prototype Exhibit'!L$4,'Prototype Inputs'!$H$71:$H$71,0))</f>
        <v>of total units</v>
      </c>
    </row>
    <row r="47" spans="1:12" x14ac:dyDescent="0.25">
      <c r="C47" s="53" t="s">
        <v>150</v>
      </c>
      <c r="D47" s="324">
        <f>INDEX('Prototype Inputs'!$C$162:$G$182,MATCH('Prototype Exhibit'!$C47,'Prototype Inputs'!$B$162:$B$182,0),MATCH('Prototype Exhibit'!D$2,'Prototype Inputs'!$C$71:$G$71,0))</f>
        <v>0</v>
      </c>
      <c r="E47" s="324">
        <f>INDEX('Prototype Inputs'!$C$162:$G$182,MATCH('Prototype Exhibit'!$C47,'Prototype Inputs'!$B$162:$B$182,0),MATCH('Prototype Exhibit'!E$2,'Prototype Inputs'!$C$71:$G$71,0))</f>
        <v>0</v>
      </c>
      <c r="F47" s="324">
        <f>INDEX('Prototype Inputs'!$C$162:$G$182,MATCH('Prototype Exhibit'!$C47,'Prototype Inputs'!$B$162:$B$182,0),MATCH('Prototype Exhibit'!F$2,'Prototype Inputs'!$C$71:$G$71,0))</f>
        <v>0</v>
      </c>
      <c r="G47" s="53" t="str">
        <f>INDEX('Prototype Inputs'!$H$98:$H$118,MATCH('Prototype Exhibit'!$C47,'Prototype Inputs'!$B$98:$B$118,0),MATCH('Prototype Exhibit'!G$4,'Prototype Inputs'!$H$71:$H$71,0))</f>
        <v>of total units</v>
      </c>
      <c r="H47" s="79"/>
      <c r="I47" s="53" t="s">
        <v>150</v>
      </c>
      <c r="J47" s="266" t="str">
        <f>INDEX('Prototype Inputs'!$C$162:$G$182,MATCH('Prototype Exhibit'!$C47,'Prototype Inputs'!$B$162:$B$182,0),MATCH('Prototype Exhibit'!J$2,'Prototype Inputs'!$C$71:$G$71,0))</f>
        <v>n/a</v>
      </c>
      <c r="K47" s="266" t="str">
        <f>INDEX('Prototype Inputs'!$C$162:$G$182,MATCH('Prototype Exhibit'!$C47,'Prototype Inputs'!$B$162:$B$182,0),MATCH('Prototype Exhibit'!K$2,'Prototype Inputs'!$C$71:$G$71,0))</f>
        <v>n/a</v>
      </c>
      <c r="L47" s="276" t="str">
        <f>INDEX('Prototype Inputs'!$H$98:$H$118,MATCH('Prototype Exhibit'!$C47,'Prototype Inputs'!$B$98:$B$118,0),MATCH('Prototype Exhibit'!L$4,'Prototype Inputs'!$H$71:$H$71,0))</f>
        <v>of total units</v>
      </c>
    </row>
    <row r="48" spans="1:12" x14ac:dyDescent="0.25">
      <c r="C48" s="1" t="s">
        <v>207</v>
      </c>
      <c r="D48" s="325"/>
      <c r="E48" s="325"/>
      <c r="F48" s="325"/>
      <c r="G48" s="47"/>
      <c r="I48" s="1" t="s">
        <v>207</v>
      </c>
      <c r="J48" s="264"/>
      <c r="K48" s="264"/>
      <c r="L48" s="275"/>
    </row>
    <row r="49" spans="3:12" x14ac:dyDescent="0.25">
      <c r="C49" s="79" t="s">
        <v>166</v>
      </c>
      <c r="D49" s="316">
        <f>INDEX('Prototype Inputs'!$C$162:$G$182,MATCH('Prototype Exhibit'!$C49,'Prototype Inputs'!$B$162:$B$182,0),MATCH('Prototype Exhibit'!D$2,'Prototype Inputs'!$C$71:$G$71,0))</f>
        <v>0.96499999999999997</v>
      </c>
      <c r="E49" s="316">
        <f>INDEX('Prototype Inputs'!$C$162:$G$182,MATCH('Prototype Exhibit'!$C49,'Prototype Inputs'!$B$162:$B$182,0),MATCH('Prototype Exhibit'!E$2,'Prototype Inputs'!$C$71:$G$71,0))</f>
        <v>0.87</v>
      </c>
      <c r="F49" s="316">
        <f>INDEX('Prototype Inputs'!$C$162:$G$182,MATCH('Prototype Exhibit'!$C49,'Prototype Inputs'!$B$162:$B$182,0),MATCH('Prototype Exhibit'!F$2,'Prototype Inputs'!$C$71:$G$71,0))</f>
        <v>0.94499999999999995</v>
      </c>
      <c r="G49" s="79" t="str">
        <f>INDEX('Prototype Inputs'!$H$98:$H$118,MATCH('Prototype Exhibit'!$C49,'Prototype Inputs'!$B$98:$B$118,0),MATCH('Prototype Exhibit'!G$4,'Prototype Inputs'!$H$71:$H$71,0))</f>
        <v>per unit</v>
      </c>
      <c r="H49" s="79"/>
      <c r="I49" s="79" t="s">
        <v>166</v>
      </c>
      <c r="J49" s="267" t="str">
        <f>INDEX('Prototype Inputs'!$C$162:$G$182,MATCH('Prototype Exhibit'!$C49,'Prototype Inputs'!$B$162:$B$182,0),MATCH('Prototype Exhibit'!J$2,'Prototype Inputs'!$C$71:$G$71,0))</f>
        <v>n/a</v>
      </c>
      <c r="K49" s="267" t="str">
        <f>INDEX('Prototype Inputs'!$C$162:$G$182,MATCH('Prototype Exhibit'!$C49,'Prototype Inputs'!$B$162:$B$182,0),MATCH('Prototype Exhibit'!K$2,'Prototype Inputs'!$C$71:$G$71,0))</f>
        <v>n/a</v>
      </c>
      <c r="L49" s="210" t="str">
        <f>INDEX('Prototype Inputs'!$H$98:$H$118,MATCH('Prototype Exhibit'!$C49,'Prototype Inputs'!$B$98:$B$118,0),MATCH('Prototype Exhibit'!L$4,'Prototype Inputs'!$H$71:$H$71,0))</f>
        <v>per unit</v>
      </c>
    </row>
    <row r="50" spans="3:12" x14ac:dyDescent="0.25">
      <c r="C50" s="53" t="s">
        <v>162</v>
      </c>
      <c r="D50" s="326">
        <f>INDEX('Prototype Inputs'!$C$162:$G$182,MATCH('Prototype Exhibit'!$C50,'Prototype Inputs'!$B$162:$B$182,0),MATCH('Prototype Exhibit'!D$2,'Prototype Inputs'!$C$71:$G$71,0))</f>
        <v>1</v>
      </c>
      <c r="E50" s="326">
        <f>INDEX('Prototype Inputs'!$C$162:$G$182,MATCH('Prototype Exhibit'!$C50,'Prototype Inputs'!$B$162:$B$182,0),MATCH('Prototype Exhibit'!E$2,'Prototype Inputs'!$C$71:$G$71,0))</f>
        <v>1</v>
      </c>
      <c r="F50" s="326">
        <f>INDEX('Prototype Inputs'!$C$162:$G$182,MATCH('Prototype Exhibit'!$C50,'Prototype Inputs'!$B$162:$B$182,0),MATCH('Prototype Exhibit'!F$2,'Prototype Inputs'!$C$71:$G$71,0))</f>
        <v>1</v>
      </c>
      <c r="G50" s="53" t="str">
        <f>INDEX('Prototype Inputs'!$H$98:$H$118,MATCH('Prototype Exhibit'!$C50,'Prototype Inputs'!$B$98:$B$118,0),MATCH('Prototype Exhibit'!G$4,'Prototype Inputs'!$H$71:$H$71,0))</f>
        <v>units per 1,000 sf</v>
      </c>
      <c r="H50" s="79"/>
      <c r="I50" s="53" t="s">
        <v>162</v>
      </c>
      <c r="J50" s="268">
        <f>INDEX('Prototype Inputs'!$C$162:$G$182,MATCH('Prototype Exhibit'!$C50,'Prototype Inputs'!$B$162:$B$182,0),MATCH('Prototype Exhibit'!J$2,'Prototype Inputs'!$C$71:$G$71,0))</f>
        <v>1</v>
      </c>
      <c r="K50" s="268">
        <f>INDEX('Prototype Inputs'!$C$162:$G$182,MATCH('Prototype Exhibit'!$C50,'Prototype Inputs'!$B$162:$B$182,0),MATCH('Prototype Exhibit'!K$2,'Prototype Inputs'!$C$71:$G$71,0))</f>
        <v>1</v>
      </c>
      <c r="L50" s="276" t="str">
        <f>INDEX('Prototype Inputs'!$H$98:$H$118,MATCH('Prototype Exhibit'!$C50,'Prototype Inputs'!$B$98:$B$118,0),MATCH('Prototype Exhibit'!L$4,'Prototype Inputs'!$H$71:$H$71,0))</f>
        <v>units per 1,000 sf</v>
      </c>
    </row>
    <row r="51" spans="3:12" ht="14.4" thickBot="1" x14ac:dyDescent="0.3">
      <c r="C51" s="145" t="s">
        <v>160</v>
      </c>
      <c r="D51" s="327" t="str">
        <f>INDEX('Prototype Inputs'!$C$162:$G$182,MATCH('Prototype Exhibit'!$C51,'Prototype Inputs'!$B$162:$B$182,0),MATCH('Prototype Exhibit'!D$2,'Prototype Inputs'!$C$71:$G$71,0))</f>
        <v>n/a</v>
      </c>
      <c r="E51" s="327" t="str">
        <f>INDEX('Prototype Inputs'!$C$162:$G$182,MATCH('Prototype Exhibit'!$C51,'Prototype Inputs'!$B$162:$B$182,0),MATCH('Prototype Exhibit'!E$2,'Prototype Inputs'!$C$71:$G$71,0))</f>
        <v>n/a</v>
      </c>
      <c r="F51" s="327" t="str">
        <f>INDEX('Prototype Inputs'!$C$162:$G$182,MATCH('Prototype Exhibit'!$C51,'Prototype Inputs'!$B$162:$B$182,0),MATCH('Prototype Exhibit'!F$2,'Prototype Inputs'!$C$71:$G$71,0))</f>
        <v>n/a</v>
      </c>
      <c r="G51" s="145" t="str">
        <f>INDEX('Prototype Inputs'!$H$98:$H$118,MATCH('Prototype Exhibit'!$C51,'Prototype Inputs'!$B$98:$B$118,0),MATCH('Prototype Exhibit'!G$4,'Prototype Inputs'!$H$71:$H$71,0))</f>
        <v>units per 1,000 sf</v>
      </c>
      <c r="H51" s="79"/>
      <c r="I51" s="145" t="s">
        <v>160</v>
      </c>
      <c r="J51" s="269">
        <f>INDEX('Prototype Inputs'!$C$162:$G$182,MATCH('Prototype Exhibit'!$C51,'Prototype Inputs'!$B$162:$B$182,0),MATCH('Prototype Exhibit'!J$2,'Prototype Inputs'!$C$71:$G$71,0))</f>
        <v>2</v>
      </c>
      <c r="K51" s="269">
        <f>INDEX('Prototype Inputs'!$C$162:$G$182,MATCH('Prototype Exhibit'!$C51,'Prototype Inputs'!$B$162:$B$182,0),MATCH('Prototype Exhibit'!K$2,'Prototype Inputs'!$C$71:$G$71,0))</f>
        <v>2</v>
      </c>
      <c r="L51" s="277" t="str">
        <f>INDEX('Prototype Inputs'!$H$98:$H$118,MATCH('Prototype Exhibit'!$C51,'Prototype Inputs'!$B$98:$B$118,0),MATCH('Prototype Exhibit'!L$4,'Prototype Inputs'!$H$71:$H$71,0))</f>
        <v>units per 1,000 sf</v>
      </c>
    </row>
    <row r="54" spans="3:12" x14ac:dyDescent="0.25">
      <c r="C54" s="83" t="s">
        <v>210</v>
      </c>
    </row>
    <row r="55" spans="3:12" ht="14.4" thickBot="1" x14ac:dyDescent="0.3"/>
    <row r="56" spans="3:12" x14ac:dyDescent="0.25">
      <c r="C56" s="601" t="s">
        <v>211</v>
      </c>
      <c r="D56" s="600" t="s">
        <v>212</v>
      </c>
      <c r="E56" s="600"/>
      <c r="F56" s="600" t="s">
        <v>213</v>
      </c>
      <c r="G56" s="600"/>
    </row>
    <row r="57" spans="3:12" x14ac:dyDescent="0.25">
      <c r="C57" s="602"/>
      <c r="D57" s="314" t="s">
        <v>214</v>
      </c>
      <c r="E57" s="314" t="s">
        <v>215</v>
      </c>
      <c r="F57" s="314" t="s">
        <v>214</v>
      </c>
      <c r="G57" s="314" t="s">
        <v>215</v>
      </c>
    </row>
    <row r="58" spans="3:12" x14ac:dyDescent="0.25">
      <c r="C58" s="78" t="s">
        <v>125</v>
      </c>
      <c r="D58" s="267">
        <f>'Prototype Inputs'!C90</f>
        <v>250</v>
      </c>
      <c r="E58" s="267">
        <f ca="1">OFFSET('Prototype Inputs'!$C$154,0,COUNTA('Prototype Exhibit'!$C$58:$C58)-1)</f>
        <v>450</v>
      </c>
      <c r="F58" s="315">
        <f>'Prototype Inputs'!C86</f>
        <v>8</v>
      </c>
      <c r="G58" s="129" t="s">
        <v>216</v>
      </c>
    </row>
    <row r="59" spans="3:12" x14ac:dyDescent="0.25">
      <c r="C59" s="309" t="s">
        <v>126</v>
      </c>
      <c r="D59" s="319">
        <f>'Prototype Inputs'!D90</f>
        <v>100</v>
      </c>
      <c r="E59" s="319">
        <f ca="1">OFFSET('Prototype Inputs'!$C$154,0,COUNTA('Prototype Exhibit'!$C$58:$C59)-1)</f>
        <v>100</v>
      </c>
      <c r="F59" s="320">
        <f>'Prototype Inputs'!D86</f>
        <v>2.5</v>
      </c>
      <c r="G59" s="321">
        <f>'Prototype Inputs'!D150</f>
        <v>4</v>
      </c>
    </row>
    <row r="60" spans="3:12" x14ac:dyDescent="0.25">
      <c r="C60" s="78" t="s">
        <v>128</v>
      </c>
      <c r="D60" s="267">
        <f>'Prototype Inputs'!E90</f>
        <v>160</v>
      </c>
      <c r="E60" s="267">
        <f ca="1">OFFSET('Prototype Inputs'!$C$154,0,COUNTA('Prototype Exhibit'!$C$58:$C60)-1)</f>
        <v>250</v>
      </c>
      <c r="F60" s="315">
        <f>'Prototype Inputs'!E86</f>
        <v>6</v>
      </c>
      <c r="G60" s="129" t="s">
        <v>216</v>
      </c>
    </row>
    <row r="61" spans="3:12" x14ac:dyDescent="0.25">
      <c r="C61" s="309" t="s">
        <v>130</v>
      </c>
      <c r="D61" s="319">
        <f>'Prototype Inputs'!F90</f>
        <v>100</v>
      </c>
      <c r="E61" s="319">
        <f ca="1">OFFSET('Prototype Inputs'!$C$154,0,COUNTA('Prototype Exhibit'!$C$58:$C61)-1)</f>
        <v>100</v>
      </c>
      <c r="F61" s="320">
        <f>'Prototype Inputs'!F86</f>
        <v>2.5</v>
      </c>
      <c r="G61" s="321">
        <f>'Prototype Inputs'!F150</f>
        <v>4</v>
      </c>
    </row>
    <row r="62" spans="3:12" ht="14.4" thickBot="1" x14ac:dyDescent="0.3">
      <c r="C62" s="84" t="s">
        <v>132</v>
      </c>
      <c r="D62" s="317">
        <f>'Prototype Inputs'!G90</f>
        <v>160</v>
      </c>
      <c r="E62" s="317">
        <f ca="1">OFFSET('Prototype Inputs'!$C$154,0,COUNTA('Prototype Exhibit'!$C$58:$C62)-1)</f>
        <v>250</v>
      </c>
      <c r="F62" s="318">
        <f>'Prototype Inputs'!G86</f>
        <v>6</v>
      </c>
      <c r="G62" s="322">
        <f>'Prototype Inputs'!G150</f>
        <v>8</v>
      </c>
    </row>
  </sheetData>
  <mergeCells count="3">
    <mergeCell ref="D56:E56"/>
    <mergeCell ref="F56:G56"/>
    <mergeCell ref="C56:C57"/>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76A87-9407-494D-A0DA-175A8579E70B}">
  <sheetPr codeName="Sheet7">
    <tabColor theme="4"/>
  </sheetPr>
  <dimension ref="B4:G11"/>
  <sheetViews>
    <sheetView workbookViewId="0">
      <selection activeCell="D8" sqref="D8"/>
    </sheetView>
  </sheetViews>
  <sheetFormatPr defaultColWidth="8.69921875" defaultRowHeight="13.8" x14ac:dyDescent="0.25"/>
  <cols>
    <col min="1" max="1" width="8.69921875" style="133"/>
    <col min="2" max="2" width="21.3984375" style="133" customWidth="1"/>
    <col min="3" max="5" width="10.59765625" style="133" customWidth="1"/>
    <col min="6" max="6" width="10.19921875" style="133" customWidth="1"/>
    <col min="7" max="7" width="10.59765625" style="133" customWidth="1"/>
    <col min="8" max="16384" width="8.69921875" style="133"/>
  </cols>
  <sheetData>
    <row r="4" spans="2:7" ht="14.4" thickBot="1" x14ac:dyDescent="0.3"/>
    <row r="5" spans="2:7" ht="41.4" x14ac:dyDescent="0.25">
      <c r="B5" s="242"/>
      <c r="C5" s="242" t="s">
        <v>125</v>
      </c>
      <c r="D5" s="242" t="s">
        <v>126</v>
      </c>
      <c r="E5" s="242" t="s">
        <v>128</v>
      </c>
      <c r="F5" s="242" t="s">
        <v>130</v>
      </c>
      <c r="G5" s="242" t="s">
        <v>132</v>
      </c>
    </row>
    <row r="6" spans="2:7" x14ac:dyDescent="0.25">
      <c r="B6" s="153" t="s">
        <v>217</v>
      </c>
      <c r="C6" s="399">
        <f>'Model Inputs'!D58</f>
        <v>300</v>
      </c>
      <c r="D6" s="399">
        <f>'Model Inputs'!E58</f>
        <v>150</v>
      </c>
      <c r="E6" s="399">
        <f>'Model Inputs'!F58</f>
        <v>240</v>
      </c>
      <c r="F6" s="399">
        <f>'Model Inputs'!G58</f>
        <v>150</v>
      </c>
      <c r="G6" s="399">
        <f>'Model Inputs'!H58</f>
        <v>240</v>
      </c>
    </row>
    <row r="7" spans="2:7" x14ac:dyDescent="0.25">
      <c r="B7" s="398" t="s">
        <v>218</v>
      </c>
      <c r="C7" s="398"/>
      <c r="D7" s="398"/>
      <c r="E7" s="398"/>
      <c r="F7" s="398"/>
      <c r="G7" s="398"/>
    </row>
    <row r="8" spans="2:7" x14ac:dyDescent="0.25">
      <c r="B8" s="153" t="s">
        <v>139</v>
      </c>
      <c r="C8" s="400">
        <f>'Static Output Exhibits'!D35</f>
        <v>4.5647191180395605E-2</v>
      </c>
      <c r="D8" s="400">
        <f>'Static Output Exhibits'!L35</f>
        <v>5.0053418550087173E-2</v>
      </c>
      <c r="E8" s="400">
        <f>'Static Output Exhibits'!T35</f>
        <v>4.4219032345920811E-2</v>
      </c>
      <c r="F8" s="400">
        <f>'Static Output Exhibits'!AB35</f>
        <v>3.1375018175690383E-2</v>
      </c>
      <c r="G8" s="400">
        <f>'Static Output Exhibits'!AJ35</f>
        <v>2.8153042208444262E-2</v>
      </c>
    </row>
    <row r="9" spans="2:7" x14ac:dyDescent="0.25">
      <c r="B9" s="153" t="s">
        <v>208</v>
      </c>
      <c r="C9" s="153"/>
      <c r="D9" s="153"/>
      <c r="E9" s="153"/>
      <c r="F9" s="153"/>
      <c r="G9" s="153"/>
    </row>
    <row r="10" spans="2:7" x14ac:dyDescent="0.25">
      <c r="B10" s="393" t="s">
        <v>214</v>
      </c>
      <c r="C10" s="400">
        <f>'Static Output Exhibits'!D37</f>
        <v>4.4251879040093978E-2</v>
      </c>
      <c r="D10" s="400">
        <f>'Static Output Exhibits'!L37</f>
        <v>4.8862884290546527E-2</v>
      </c>
      <c r="E10" s="400">
        <f>'Static Output Exhibits'!T37</f>
        <v>4.287360383814235E-2</v>
      </c>
      <c r="F10" s="400">
        <f>'Static Output Exhibits'!AB37</f>
        <v>3.1297904359040639E-2</v>
      </c>
      <c r="G10" s="400">
        <f>'Static Output Exhibits'!AJ37</f>
        <v>2.8082556771361469E-2</v>
      </c>
    </row>
    <row r="11" spans="2:7" ht="14.4" thickBot="1" x14ac:dyDescent="0.3">
      <c r="B11" s="516" t="s">
        <v>215</v>
      </c>
      <c r="C11" s="521">
        <f>'Static Output Exhibits'!D38</f>
        <v>4.3458018469078243E-2</v>
      </c>
      <c r="D11" s="521">
        <f>'Static Output Exhibits'!L38</f>
        <v>4.4805841124679606E-2</v>
      </c>
      <c r="E11" s="521">
        <f>'Static Output Exhibits'!T38</f>
        <v>4.1525645495399499E-2</v>
      </c>
      <c r="F11" s="521">
        <f>'Static Output Exhibits'!AB38</f>
        <v>2.6832614590797894E-2</v>
      </c>
      <c r="G11" s="521">
        <f>'Static Output Exhibits'!AJ38</f>
        <v>2.3692499597711643E-2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5E5D-AD52-4F8A-AC74-A135C549D0C3}">
  <sheetPr codeName="Sheet21">
    <tabColor theme="4"/>
  </sheetPr>
  <dimension ref="B2:Q37"/>
  <sheetViews>
    <sheetView workbookViewId="0">
      <selection activeCell="G36" sqref="G36:I36"/>
    </sheetView>
  </sheetViews>
  <sheetFormatPr defaultColWidth="8.69921875" defaultRowHeight="13.8" x14ac:dyDescent="0.25"/>
  <cols>
    <col min="1" max="1" width="8.69921875" style="133"/>
    <col min="2" max="2" width="19.69921875" style="133" customWidth="1"/>
    <col min="3" max="5" width="8.8984375" style="133" bestFit="1" customWidth="1"/>
    <col min="6" max="6" width="1" style="133" customWidth="1"/>
    <col min="7" max="8" width="9.5" style="133" bestFit="1" customWidth="1"/>
    <col min="9" max="9" width="7" style="133" bestFit="1" customWidth="1"/>
    <col min="10" max="10" width="1" style="133" customWidth="1"/>
    <col min="11" max="16384" width="8.69921875" style="133"/>
  </cols>
  <sheetData>
    <row r="2" spans="2:10" x14ac:dyDescent="0.25">
      <c r="B2" s="153" t="s">
        <v>219</v>
      </c>
    </row>
    <row r="3" spans="2:10" ht="14.4" thickBot="1" x14ac:dyDescent="0.3"/>
    <row r="4" spans="2:10" x14ac:dyDescent="0.25">
      <c r="B4" s="531"/>
      <c r="C4" s="604" t="s">
        <v>220</v>
      </c>
      <c r="D4" s="604"/>
      <c r="E4" s="604"/>
      <c r="F4" s="511"/>
      <c r="G4" s="604" t="s">
        <v>221</v>
      </c>
      <c r="H4" s="604"/>
      <c r="I4" s="604"/>
      <c r="J4" s="559"/>
    </row>
    <row r="5" spans="2:10" x14ac:dyDescent="0.25">
      <c r="B5" s="153"/>
      <c r="C5" s="605" t="s">
        <v>139</v>
      </c>
      <c r="D5" s="607" t="s">
        <v>208</v>
      </c>
      <c r="E5" s="607"/>
      <c r="G5" s="605" t="s">
        <v>139</v>
      </c>
      <c r="H5" s="607" t="s">
        <v>208</v>
      </c>
      <c r="I5" s="607"/>
    </row>
    <row r="6" spans="2:10" x14ac:dyDescent="0.25">
      <c r="B6" s="532"/>
      <c r="C6" s="606"/>
      <c r="D6" s="408" t="s">
        <v>214</v>
      </c>
      <c r="E6" s="408" t="s">
        <v>215</v>
      </c>
      <c r="F6" s="253"/>
      <c r="G6" s="606"/>
      <c r="H6" s="408" t="s">
        <v>214</v>
      </c>
      <c r="I6" s="408" t="s">
        <v>215</v>
      </c>
    </row>
    <row r="7" spans="2:10" x14ac:dyDescent="0.25">
      <c r="B7" s="243" t="s">
        <v>125</v>
      </c>
      <c r="C7" s="243"/>
      <c r="D7" s="243"/>
      <c r="E7" s="243"/>
      <c r="F7" s="243"/>
      <c r="G7" s="243"/>
      <c r="H7" s="243"/>
      <c r="I7" s="243"/>
      <c r="J7" s="153"/>
    </row>
    <row r="8" spans="2:10" x14ac:dyDescent="0.25">
      <c r="B8" s="393" t="s">
        <v>222</v>
      </c>
      <c r="C8" s="603">
        <v>4.2551194539249151</v>
      </c>
      <c r="D8" s="603"/>
      <c r="E8" s="603"/>
      <c r="G8" s="603">
        <v>6.0649032992036407</v>
      </c>
      <c r="H8" s="603"/>
      <c r="I8" s="603"/>
    </row>
    <row r="9" spans="2:10" x14ac:dyDescent="0.25">
      <c r="B9" s="393" t="s">
        <v>223</v>
      </c>
      <c r="C9" s="194">
        <v>124.73497308113973</v>
      </c>
      <c r="D9" s="194">
        <v>-7.801026918859141</v>
      </c>
      <c r="E9" s="194">
        <v>-493.94644296874884</v>
      </c>
      <c r="F9" s="535"/>
      <c r="G9" s="194">
        <v>1853.0429730811402</v>
      </c>
      <c r="H9" s="194">
        <v>1548.5344930811393</v>
      </c>
      <c r="I9" s="194">
        <v>1942.8891607373896</v>
      </c>
      <c r="J9" s="535"/>
    </row>
    <row r="10" spans="2:10" x14ac:dyDescent="0.25">
      <c r="B10" s="393" t="s">
        <v>218</v>
      </c>
      <c r="C10" s="536">
        <v>4.6264987671039641E-2</v>
      </c>
      <c r="D10" s="536">
        <v>4.4844924722142639E-2</v>
      </c>
      <c r="E10" s="536">
        <v>4.3099790398683904E-2</v>
      </c>
      <c r="F10" s="537"/>
      <c r="G10" s="536">
        <v>6.391794582944102E-2</v>
      </c>
      <c r="H10" s="536">
        <v>6.0698843836836824E-2</v>
      </c>
      <c r="I10" s="536">
        <v>5.7237317509796055E-2</v>
      </c>
      <c r="J10" s="537"/>
    </row>
    <row r="11" spans="2:10" x14ac:dyDescent="0.25">
      <c r="B11" s="243" t="s">
        <v>126</v>
      </c>
      <c r="C11" s="243"/>
      <c r="D11" s="243"/>
      <c r="E11" s="243"/>
      <c r="F11" s="243"/>
      <c r="G11" s="243"/>
      <c r="H11" s="243"/>
      <c r="I11" s="243"/>
      <c r="J11" s="153"/>
    </row>
    <row r="12" spans="2:10" x14ac:dyDescent="0.25">
      <c r="B12" s="393" t="s">
        <v>222</v>
      </c>
      <c r="C12" s="603">
        <v>3.9338235294117645</v>
      </c>
      <c r="D12" s="603"/>
      <c r="E12" s="603"/>
      <c r="G12" s="603">
        <v>5.0639705882352946</v>
      </c>
      <c r="H12" s="603"/>
      <c r="I12" s="603"/>
    </row>
    <row r="13" spans="2:10" x14ac:dyDescent="0.25">
      <c r="B13" s="393" t="s">
        <v>223</v>
      </c>
      <c r="C13" s="194">
        <v>208.96185780984717</v>
      </c>
      <c r="D13" s="194">
        <v>181.47082555178264</v>
      </c>
      <c r="E13" s="194">
        <v>60.171154989919351</v>
      </c>
      <c r="G13" s="194">
        <v>492.231535229202</v>
      </c>
      <c r="H13" s="194">
        <v>435.80114813242778</v>
      </c>
      <c r="I13" s="194">
        <v>395.64276789314493</v>
      </c>
    </row>
    <row r="14" spans="2:10" x14ac:dyDescent="0.25">
      <c r="B14" s="393" t="s">
        <v>218</v>
      </c>
      <c r="C14" s="536">
        <v>5.0053418550087173E-2</v>
      </c>
      <c r="D14" s="536">
        <v>4.8862884290546527E-2</v>
      </c>
      <c r="E14" s="536">
        <v>4.4805841124679606E-2</v>
      </c>
      <c r="G14" s="536">
        <v>6.2320773682153406E-2</v>
      </c>
      <c r="H14" s="536">
        <v>5.9876983704127335E-2</v>
      </c>
      <c r="I14" s="536">
        <v>5.4867351135409984E-2</v>
      </c>
    </row>
    <row r="15" spans="2:10" x14ac:dyDescent="0.25">
      <c r="B15" s="243" t="s">
        <v>128</v>
      </c>
      <c r="C15" s="243"/>
      <c r="D15" s="243"/>
      <c r="E15" s="243"/>
      <c r="F15" s="243"/>
      <c r="G15" s="243"/>
      <c r="H15" s="243"/>
      <c r="I15" s="243"/>
      <c r="J15" s="153"/>
    </row>
    <row r="16" spans="2:10" x14ac:dyDescent="0.25">
      <c r="B16" s="393" t="s">
        <v>222</v>
      </c>
      <c r="C16" s="603">
        <v>4.254960835509138</v>
      </c>
      <c r="D16" s="603"/>
      <c r="E16" s="603"/>
      <c r="G16" s="603">
        <v>6.0649032992036407</v>
      </c>
      <c r="H16" s="603"/>
      <c r="I16" s="603"/>
    </row>
    <row r="17" spans="2:17" x14ac:dyDescent="0.25">
      <c r="B17" s="393" t="s">
        <v>223</v>
      </c>
      <c r="C17" s="194">
        <v>33.974807292139118</v>
      </c>
      <c r="D17" s="194">
        <v>-50.510075466481162</v>
      </c>
      <c r="E17" s="194">
        <v>-313.61347952586209</v>
      </c>
      <c r="G17" s="194">
        <v>1124.8074969473116</v>
      </c>
      <c r="H17" s="194">
        <v>930.4187521197257</v>
      </c>
      <c r="I17" s="194">
        <v>983.89976185344824</v>
      </c>
    </row>
    <row r="18" spans="2:17" ht="14.4" thickBot="1" x14ac:dyDescent="0.3">
      <c r="B18" s="516" t="s">
        <v>218</v>
      </c>
      <c r="C18" s="549">
        <v>4.4219032345920811E-2</v>
      </c>
      <c r="D18" s="549">
        <v>4.287360383814235E-2</v>
      </c>
      <c r="E18" s="549">
        <v>4.1525645495399499E-2</v>
      </c>
      <c r="F18" s="550"/>
      <c r="G18" s="549">
        <v>6.1590630079823912E-2</v>
      </c>
      <c r="H18" s="549">
        <v>5.849497378792215E-2</v>
      </c>
      <c r="I18" s="549">
        <v>5.5527840826792532E-2</v>
      </c>
      <c r="J18" s="537"/>
    </row>
    <row r="21" spans="2:17" x14ac:dyDescent="0.25">
      <c r="B21" s="153" t="s">
        <v>224</v>
      </c>
    </row>
    <row r="22" spans="2:17" ht="14.4" thickBot="1" x14ac:dyDescent="0.3"/>
    <row r="23" spans="2:17" x14ac:dyDescent="0.25">
      <c r="B23" s="531"/>
      <c r="C23" s="604" t="s">
        <v>225</v>
      </c>
      <c r="D23" s="604"/>
      <c r="E23" s="604"/>
      <c r="F23" s="511"/>
      <c r="G23" s="604" t="s">
        <v>226</v>
      </c>
      <c r="H23" s="604"/>
      <c r="I23" s="604"/>
      <c r="J23" s="511"/>
      <c r="K23" s="604" t="s">
        <v>227</v>
      </c>
      <c r="L23" s="604"/>
      <c r="M23" s="604"/>
    </row>
    <row r="24" spans="2:17" x14ac:dyDescent="0.25">
      <c r="B24" s="153"/>
      <c r="C24" s="605" t="s">
        <v>139</v>
      </c>
      <c r="D24" s="607" t="s">
        <v>208</v>
      </c>
      <c r="E24" s="607"/>
      <c r="G24" s="605" t="s">
        <v>139</v>
      </c>
      <c r="H24" s="607" t="s">
        <v>208</v>
      </c>
      <c r="I24" s="607"/>
      <c r="K24" s="605" t="s">
        <v>139</v>
      </c>
      <c r="L24" s="607" t="s">
        <v>208</v>
      </c>
      <c r="M24" s="607"/>
    </row>
    <row r="25" spans="2:17" x14ac:dyDescent="0.25">
      <c r="B25" s="532"/>
      <c r="C25" s="606"/>
      <c r="D25" s="408" t="s">
        <v>214</v>
      </c>
      <c r="E25" s="408" t="s">
        <v>215</v>
      </c>
      <c r="F25" s="253"/>
      <c r="G25" s="606"/>
      <c r="H25" s="408" t="s">
        <v>214</v>
      </c>
      <c r="I25" s="408" t="s">
        <v>215</v>
      </c>
      <c r="J25" s="253"/>
      <c r="K25" s="606"/>
      <c r="L25" s="408" t="s">
        <v>214</v>
      </c>
      <c r="M25" s="408" t="s">
        <v>215</v>
      </c>
    </row>
    <row r="26" spans="2:17" x14ac:dyDescent="0.25">
      <c r="B26" s="243" t="s">
        <v>125</v>
      </c>
      <c r="C26" s="243"/>
      <c r="D26" s="243"/>
      <c r="E26" s="243"/>
      <c r="F26" s="243"/>
      <c r="G26" s="243"/>
      <c r="H26" s="243"/>
      <c r="I26" s="243"/>
      <c r="J26" s="243"/>
      <c r="K26" s="243"/>
      <c r="L26" s="243"/>
      <c r="M26" s="243"/>
    </row>
    <row r="27" spans="2:17" x14ac:dyDescent="0.25">
      <c r="B27" s="393" t="s">
        <v>228</v>
      </c>
      <c r="C27" s="557">
        <v>1.5358361774744027</v>
      </c>
      <c r="D27" s="557">
        <v>1.5358361774744027</v>
      </c>
      <c r="E27" s="557">
        <v>1.518607442977191</v>
      </c>
      <c r="F27" s="558"/>
      <c r="G27" s="557">
        <v>1.0352673492605233</v>
      </c>
      <c r="H27" s="557">
        <v>1.0352673492605233</v>
      </c>
      <c r="I27" s="557">
        <v>1.018607442977191</v>
      </c>
      <c r="J27" s="558"/>
      <c r="K27" s="557">
        <v>0.53583617747440271</v>
      </c>
      <c r="L27" s="557">
        <v>0.53583617747440271</v>
      </c>
      <c r="M27" s="557">
        <v>0.51860744297719086</v>
      </c>
    </row>
    <row r="28" spans="2:17" x14ac:dyDescent="0.25">
      <c r="B28" s="393" t="s">
        <v>223</v>
      </c>
      <c r="C28" s="194">
        <v>-404.46423004385912</v>
      </c>
      <c r="D28" s="194">
        <v>-536.4527100438595</v>
      </c>
      <c r="E28" s="194">
        <v>-381.96683926260926</v>
      </c>
      <c r="F28" s="535"/>
      <c r="G28" s="194">
        <v>-139.56360504385916</v>
      </c>
      <c r="H28" s="194">
        <v>-271.55208504385951</v>
      </c>
      <c r="I28" s="194">
        <v>-381.96683926260926</v>
      </c>
      <c r="J28" s="535"/>
      <c r="K28" s="194">
        <v>124.73497308113973</v>
      </c>
      <c r="L28" s="194">
        <v>-7.2535069188600492</v>
      </c>
      <c r="M28" s="194">
        <v>-381.96683926260926</v>
      </c>
      <c r="O28" s="194"/>
      <c r="P28" s="194"/>
      <c r="Q28" s="194"/>
    </row>
    <row r="29" spans="2:17" x14ac:dyDescent="0.25">
      <c r="B29" s="393" t="s">
        <v>218</v>
      </c>
      <c r="C29" s="536">
        <v>4.1248833657477904E-2</v>
      </c>
      <c r="D29" s="536">
        <v>4.0077614582628235E-2</v>
      </c>
      <c r="E29" s="536">
        <v>4.3458018469078243E-2</v>
      </c>
      <c r="F29" s="537"/>
      <c r="G29" s="536">
        <v>4.325847729940252E-2</v>
      </c>
      <c r="H29" s="536">
        <v>4.198486836610265E-2</v>
      </c>
      <c r="I29" s="536">
        <v>4.3458018469078243E-2</v>
      </c>
      <c r="J29" s="537"/>
      <c r="K29" s="536">
        <v>4.5647191180395605E-2</v>
      </c>
      <c r="L29" s="536">
        <v>4.4251879040093978E-2</v>
      </c>
      <c r="M29" s="536">
        <v>4.3458018469078243E-2</v>
      </c>
      <c r="O29" s="515"/>
      <c r="P29" s="515"/>
      <c r="Q29" s="515"/>
    </row>
    <row r="30" spans="2:17" x14ac:dyDescent="0.25">
      <c r="B30" s="243" t="s">
        <v>126</v>
      </c>
      <c r="C30" s="243"/>
      <c r="D30" s="243"/>
      <c r="E30" s="243"/>
      <c r="F30" s="243"/>
      <c r="G30" s="243"/>
      <c r="H30" s="243"/>
      <c r="I30" s="243"/>
      <c r="J30" s="243"/>
      <c r="K30" s="243"/>
      <c r="L30" s="243"/>
      <c r="M30" s="243"/>
    </row>
    <row r="31" spans="2:17" x14ac:dyDescent="0.25">
      <c r="B31" s="393" t="s">
        <v>228</v>
      </c>
      <c r="C31" s="557">
        <v>1.6323529411764706</v>
      </c>
      <c r="D31" s="557">
        <v>1.6323529411764706</v>
      </c>
      <c r="E31" s="557">
        <v>1.6355140186915889</v>
      </c>
      <c r="G31" s="557">
        <v>1.1323529411764706</v>
      </c>
      <c r="H31" s="557">
        <v>1.1323529411764706</v>
      </c>
      <c r="I31" s="557">
        <v>1.1355140186915889</v>
      </c>
      <c r="K31" s="557">
        <v>0.63235294117647056</v>
      </c>
      <c r="L31" s="557">
        <v>0.63235294117647056</v>
      </c>
      <c r="M31" s="557">
        <v>0.63551401869158874</v>
      </c>
    </row>
    <row r="32" spans="2:17" x14ac:dyDescent="0.25">
      <c r="B32" s="393" t="s">
        <v>223</v>
      </c>
      <c r="C32" s="194">
        <v>70.296867890492564</v>
      </c>
      <c r="D32" s="194">
        <v>42.805835632427808</v>
      </c>
      <c r="E32" s="194">
        <v>-158.02228503024193</v>
      </c>
      <c r="G32" s="194">
        <v>139.62936285016974</v>
      </c>
      <c r="H32" s="194">
        <v>112.13833059210522</v>
      </c>
      <c r="I32" s="194">
        <v>-48.925565020161294</v>
      </c>
      <c r="K32" s="194">
        <v>208.96185780984717</v>
      </c>
      <c r="L32" s="194">
        <v>181.47082555178264</v>
      </c>
      <c r="M32" s="194">
        <v>60.171154989919351</v>
      </c>
      <c r="O32" s="194"/>
      <c r="P32" s="194"/>
      <c r="Q32" s="194"/>
    </row>
    <row r="33" spans="2:17" x14ac:dyDescent="0.25">
      <c r="B33" s="393" t="s">
        <v>218</v>
      </c>
      <c r="C33" s="536">
        <v>4.4636461269455086E-2</v>
      </c>
      <c r="D33" s="536">
        <v>4.3648775672539407E-2</v>
      </c>
      <c r="E33" s="536">
        <v>3.9951258553000052E-2</v>
      </c>
      <c r="G33" s="536">
        <v>4.7092710425998892E-2</v>
      </c>
      <c r="H33" s="536">
        <v>4.6013045728886134E-2</v>
      </c>
      <c r="I33" s="536">
        <v>4.2134258252204994E-2</v>
      </c>
      <c r="K33" s="536">
        <v>5.0053418550087173E-2</v>
      </c>
      <c r="L33" s="536">
        <v>4.8862884290546527E-2</v>
      </c>
      <c r="M33" s="536">
        <v>4.4805841124679606E-2</v>
      </c>
      <c r="O33" s="515"/>
      <c r="P33" s="515"/>
      <c r="Q33" s="515"/>
    </row>
    <row r="34" spans="2:17" x14ac:dyDescent="0.25">
      <c r="B34" s="243" t="s">
        <v>128</v>
      </c>
      <c r="C34" s="243"/>
      <c r="D34" s="243"/>
      <c r="E34" s="243"/>
      <c r="F34" s="243"/>
      <c r="G34" s="243"/>
      <c r="H34" s="243"/>
      <c r="I34" s="243"/>
      <c r="J34" s="243"/>
      <c r="K34" s="243"/>
      <c r="L34" s="243"/>
      <c r="M34" s="243"/>
    </row>
    <row r="35" spans="2:17" x14ac:dyDescent="0.25">
      <c r="B35" s="393" t="s">
        <v>228</v>
      </c>
      <c r="C35" s="557">
        <v>1.5561357702349869</v>
      </c>
      <c r="D35" s="557">
        <v>1.5561357702349869</v>
      </c>
      <c r="E35" s="557">
        <v>1.5354200988467874</v>
      </c>
      <c r="G35" s="557">
        <v>1.0561357702349869</v>
      </c>
      <c r="H35" s="557">
        <v>1.0561357702349869</v>
      </c>
      <c r="I35" s="557">
        <v>1.0354200988467874</v>
      </c>
      <c r="K35" s="557">
        <v>0.55613577023498695</v>
      </c>
      <c r="L35" s="557">
        <v>0.55613577023498695</v>
      </c>
      <c r="M35" s="557">
        <v>0.53542009884678743</v>
      </c>
    </row>
    <row r="36" spans="2:17" x14ac:dyDescent="0.25">
      <c r="B36" s="393" t="s">
        <v>223</v>
      </c>
      <c r="C36" s="194">
        <v>-299.9743661992398</v>
      </c>
      <c r="D36" s="194">
        <v>-384.4592489578605</v>
      </c>
      <c r="E36" s="194">
        <v>-842.87496336206891</v>
      </c>
      <c r="G36" s="194">
        <v>-132.99977945355053</v>
      </c>
      <c r="H36" s="194">
        <v>-217.4846622121708</v>
      </c>
      <c r="I36" s="194">
        <v>-578.24422144396556</v>
      </c>
      <c r="K36" s="194">
        <v>33.974807292139118</v>
      </c>
      <c r="L36" s="194">
        <v>-50.510075466481162</v>
      </c>
      <c r="M36" s="194">
        <v>-313.61347952586209</v>
      </c>
      <c r="O36" s="194"/>
      <c r="P36" s="194"/>
      <c r="Q36" s="194"/>
    </row>
    <row r="37" spans="2:17" ht="14.4" thickBot="1" x14ac:dyDescent="0.3">
      <c r="B37" s="516" t="s">
        <v>218</v>
      </c>
      <c r="C37" s="549">
        <v>4.0224222495607281E-2</v>
      </c>
      <c r="D37" s="549">
        <v>3.9085847698738463E-2</v>
      </c>
      <c r="E37" s="549">
        <v>3.772377192248428E-2</v>
      </c>
      <c r="F37" s="550"/>
      <c r="G37" s="549">
        <v>4.2055120636120873E-2</v>
      </c>
      <c r="H37" s="549">
        <v>4.0821849143665621E-2</v>
      </c>
      <c r="I37" s="549">
        <v>3.9455564811558444E-2</v>
      </c>
      <c r="J37" s="550"/>
      <c r="K37" s="549">
        <v>4.4219032345920811E-2</v>
      </c>
      <c r="L37" s="549">
        <v>4.287360383814235E-2</v>
      </c>
      <c r="M37" s="549">
        <v>4.1525645495399499E-2</v>
      </c>
      <c r="O37" s="515"/>
      <c r="P37" s="515"/>
      <c r="Q37" s="515"/>
    </row>
  </sheetData>
  <mergeCells count="21">
    <mergeCell ref="K23:M23"/>
    <mergeCell ref="K24:K25"/>
    <mergeCell ref="L24:M24"/>
    <mergeCell ref="C23:E23"/>
    <mergeCell ref="G23:I23"/>
    <mergeCell ref="C24:C25"/>
    <mergeCell ref="D24:E24"/>
    <mergeCell ref="G24:G25"/>
    <mergeCell ref="H24:I24"/>
    <mergeCell ref="C4:E4"/>
    <mergeCell ref="G4:I4"/>
    <mergeCell ref="C5:C6"/>
    <mergeCell ref="D5:E5"/>
    <mergeCell ref="G5:G6"/>
    <mergeCell ref="H5:I5"/>
    <mergeCell ref="G8:I8"/>
    <mergeCell ref="G12:I12"/>
    <mergeCell ref="G16:I16"/>
    <mergeCell ref="C8:E8"/>
    <mergeCell ref="C12:E12"/>
    <mergeCell ref="C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929D-E6CE-4482-8D4F-ED3E6963BC12}">
  <sheetPr codeName="Sheet6">
    <tabColor theme="4"/>
  </sheetPr>
  <dimension ref="B3:AO70"/>
  <sheetViews>
    <sheetView topLeftCell="F1" workbookViewId="0">
      <selection activeCell="S25" sqref="S25"/>
    </sheetView>
  </sheetViews>
  <sheetFormatPr defaultColWidth="8.69921875" defaultRowHeight="13.8" x14ac:dyDescent="0.25"/>
  <cols>
    <col min="1" max="1" width="8.69921875" style="133"/>
    <col min="2" max="2" width="18.69921875" style="133" customWidth="1"/>
    <col min="3" max="3" width="9.5" style="133" bestFit="1" customWidth="1"/>
    <col min="4" max="4" width="11.5" style="133" bestFit="1" customWidth="1"/>
    <col min="5" max="5" width="10.5" style="133" bestFit="1" customWidth="1"/>
    <col min="6" max="6" width="8.69921875" style="133"/>
    <col min="7" max="8" width="5.8984375" style="133" bestFit="1" customWidth="1"/>
    <col min="9" max="9" width="5.8984375" style="133" customWidth="1"/>
    <col min="10" max="10" width="18.69921875" style="133" customWidth="1"/>
    <col min="11" max="11" width="9.8984375" style="133" bestFit="1" customWidth="1"/>
    <col min="12" max="12" width="11.5" style="133" bestFit="1" customWidth="1"/>
    <col min="13" max="14" width="8.69921875" style="133"/>
    <col min="15" max="16" width="5.8984375" style="133" bestFit="1" customWidth="1"/>
    <col min="17" max="17" width="5.8984375" style="133" customWidth="1"/>
    <col min="18" max="18" width="18.69921875" style="133" customWidth="1"/>
    <col min="19" max="19" width="9.8984375" style="133" bestFit="1" customWidth="1"/>
    <col min="20" max="20" width="11.5" style="133" bestFit="1" customWidth="1"/>
    <col min="21" max="21" width="9.5" style="133" bestFit="1" customWidth="1"/>
    <col min="22" max="22" width="4.8984375" style="133" bestFit="1" customWidth="1"/>
    <col min="23" max="24" width="5.8984375" style="133" bestFit="1" customWidth="1"/>
    <col min="25" max="25" width="8.69921875" style="133"/>
    <col min="26" max="26" width="18.69921875" style="133" customWidth="1"/>
    <col min="27" max="29" width="11.8984375" style="133" bestFit="1" customWidth="1"/>
    <col min="30" max="30" width="4.8984375" style="133" bestFit="1" customWidth="1"/>
    <col min="31" max="33" width="5.8984375" style="133" bestFit="1" customWidth="1"/>
    <col min="34" max="34" width="18.69921875" style="133" customWidth="1"/>
    <col min="35" max="37" width="13.5" style="133" bestFit="1" customWidth="1"/>
    <col min="38" max="38" width="4.8984375" style="133" bestFit="1" customWidth="1"/>
    <col min="39" max="40" width="5.8984375" style="133" bestFit="1" customWidth="1"/>
    <col min="41" max="16384" width="8.69921875" style="133"/>
  </cols>
  <sheetData>
    <row r="3" spans="2:37" x14ac:dyDescent="0.25">
      <c r="B3" s="153" t="s">
        <v>125</v>
      </c>
      <c r="J3" s="153" t="s">
        <v>126</v>
      </c>
      <c r="R3" s="153" t="s">
        <v>229</v>
      </c>
      <c r="Z3" s="153" t="s">
        <v>130</v>
      </c>
      <c r="AH3" s="153" t="s">
        <v>132</v>
      </c>
    </row>
    <row r="5" spans="2:37" ht="14.4" thickBot="1" x14ac:dyDescent="0.3"/>
    <row r="6" spans="2:37" x14ac:dyDescent="0.25">
      <c r="B6" s="609" t="s">
        <v>230</v>
      </c>
      <c r="C6" s="608" t="s">
        <v>139</v>
      </c>
      <c r="D6" s="510" t="s">
        <v>208</v>
      </c>
      <c r="E6" s="510"/>
      <c r="J6" s="609" t="s">
        <v>230</v>
      </c>
      <c r="K6" s="608" t="s">
        <v>139</v>
      </c>
      <c r="L6" s="510" t="s">
        <v>208</v>
      </c>
      <c r="M6" s="510"/>
      <c r="R6" s="609" t="s">
        <v>230</v>
      </c>
      <c r="S6" s="608" t="s">
        <v>139</v>
      </c>
      <c r="T6" s="510" t="s">
        <v>208</v>
      </c>
      <c r="U6" s="510"/>
      <c r="Z6" s="609" t="s">
        <v>230</v>
      </c>
      <c r="AA6" s="608" t="s">
        <v>139</v>
      </c>
      <c r="AB6" s="510" t="s">
        <v>208</v>
      </c>
      <c r="AC6" s="510"/>
      <c r="AH6" s="613" t="s">
        <v>230</v>
      </c>
      <c r="AI6" s="608" t="s">
        <v>139</v>
      </c>
      <c r="AJ6" s="604" t="s">
        <v>208</v>
      </c>
      <c r="AK6" s="604"/>
    </row>
    <row r="7" spans="2:37" x14ac:dyDescent="0.25">
      <c r="B7" s="610"/>
      <c r="C7" s="606"/>
      <c r="D7" s="408" t="s">
        <v>214</v>
      </c>
      <c r="E7" s="408" t="s">
        <v>215</v>
      </c>
      <c r="J7" s="610"/>
      <c r="K7" s="606"/>
      <c r="L7" s="408" t="s">
        <v>214</v>
      </c>
      <c r="M7" s="408" t="s">
        <v>215</v>
      </c>
      <c r="R7" s="610"/>
      <c r="S7" s="606"/>
      <c r="T7" s="408" t="s">
        <v>214</v>
      </c>
      <c r="U7" s="408" t="s">
        <v>215</v>
      </c>
      <c r="Z7" s="610"/>
      <c r="AA7" s="606"/>
      <c r="AB7" s="408" t="s">
        <v>214</v>
      </c>
      <c r="AC7" s="408" t="s">
        <v>215</v>
      </c>
      <c r="AH7" s="614"/>
      <c r="AI7" s="606"/>
      <c r="AJ7" s="408" t="s">
        <v>214</v>
      </c>
      <c r="AK7" s="408" t="s">
        <v>215</v>
      </c>
    </row>
    <row r="8" spans="2:37" ht="13.95" hidden="1" customHeight="1" x14ac:dyDescent="0.25">
      <c r="B8" s="218" t="s">
        <v>230</v>
      </c>
      <c r="C8" s="219"/>
      <c r="D8" s="219"/>
      <c r="E8" s="219"/>
      <c r="J8" s="218" t="s">
        <v>230</v>
      </c>
      <c r="K8" s="219"/>
      <c r="L8" s="219"/>
      <c r="M8" s="219"/>
      <c r="R8" s="218" t="s">
        <v>230</v>
      </c>
      <c r="S8" s="219"/>
      <c r="T8" s="219"/>
      <c r="U8" s="219"/>
      <c r="Z8" s="218" t="s">
        <v>230</v>
      </c>
      <c r="AA8" s="219"/>
      <c r="AB8" s="219"/>
      <c r="AC8" s="219"/>
      <c r="AH8" s="218" t="s">
        <v>230</v>
      </c>
      <c r="AI8" s="219"/>
      <c r="AJ8" s="219"/>
      <c r="AK8" s="219"/>
    </row>
    <row r="9" spans="2:37" x14ac:dyDescent="0.25">
      <c r="B9" s="188" t="s">
        <v>231</v>
      </c>
      <c r="C9" s="365">
        <v>0</v>
      </c>
      <c r="D9" s="365">
        <v>0.1</v>
      </c>
      <c r="E9" s="365">
        <v>0.29000000000000004</v>
      </c>
      <c r="J9" s="188" t="s">
        <v>231</v>
      </c>
      <c r="K9" s="365">
        <v>0</v>
      </c>
      <c r="L9" s="365">
        <v>0.1</v>
      </c>
      <c r="M9" s="365">
        <v>0.25</v>
      </c>
      <c r="R9" s="188" t="s">
        <v>231</v>
      </c>
      <c r="S9" s="365">
        <v>0</v>
      </c>
      <c r="T9" s="365">
        <v>0.1</v>
      </c>
      <c r="U9" s="365">
        <v>0.25</v>
      </c>
      <c r="Z9" s="188" t="s">
        <v>231</v>
      </c>
      <c r="AA9" s="365">
        <v>0</v>
      </c>
      <c r="AB9" s="365">
        <v>0</v>
      </c>
      <c r="AC9" s="365">
        <v>0</v>
      </c>
      <c r="AH9" s="188" t="s">
        <v>231</v>
      </c>
      <c r="AJ9" s="365">
        <v>0.1</v>
      </c>
      <c r="AK9" s="365">
        <v>0.1</v>
      </c>
    </row>
    <row r="10" spans="2:37" ht="14.4" thickBot="1" x14ac:dyDescent="0.3">
      <c r="B10" s="188" t="s">
        <v>102</v>
      </c>
      <c r="C10" s="368">
        <v>0</v>
      </c>
      <c r="D10" s="368">
        <v>0.8</v>
      </c>
      <c r="E10" s="368">
        <v>0.8</v>
      </c>
      <c r="J10" s="188" t="s">
        <v>102</v>
      </c>
      <c r="K10" s="368">
        <v>0</v>
      </c>
      <c r="L10" s="368">
        <v>0.8</v>
      </c>
      <c r="M10" s="368">
        <v>0.8</v>
      </c>
      <c r="R10" s="188" t="s">
        <v>102</v>
      </c>
      <c r="S10" s="368">
        <v>0</v>
      </c>
      <c r="T10" s="368">
        <v>0.8</v>
      </c>
      <c r="U10" s="368">
        <v>0.8</v>
      </c>
      <c r="Z10" s="188" t="s">
        <v>102</v>
      </c>
      <c r="AA10" s="368">
        <v>0</v>
      </c>
      <c r="AB10" s="368">
        <v>0.8</v>
      </c>
      <c r="AC10" s="368">
        <v>0.8</v>
      </c>
      <c r="AH10" s="188" t="s">
        <v>102</v>
      </c>
      <c r="AJ10" s="366">
        <v>0.8</v>
      </c>
      <c r="AK10" s="366">
        <v>0.8</v>
      </c>
    </row>
    <row r="11" spans="2:37" x14ac:dyDescent="0.25">
      <c r="B11" s="508" t="s">
        <v>104</v>
      </c>
      <c r="C11" s="511" t="s">
        <v>139</v>
      </c>
      <c r="D11" s="510" t="s">
        <v>208</v>
      </c>
      <c r="E11" s="510"/>
      <c r="J11" s="508" t="s">
        <v>104</v>
      </c>
      <c r="K11" s="511" t="s">
        <v>139</v>
      </c>
      <c r="L11" s="510" t="s">
        <v>208</v>
      </c>
      <c r="M11" s="510"/>
      <c r="R11" s="508" t="s">
        <v>104</v>
      </c>
      <c r="S11" s="511" t="s">
        <v>139</v>
      </c>
      <c r="T11" s="510" t="s">
        <v>208</v>
      </c>
      <c r="U11" s="510"/>
      <c r="Z11" s="611" t="s">
        <v>104</v>
      </c>
      <c r="AA11" s="608" t="s">
        <v>139</v>
      </c>
      <c r="AB11" s="510" t="s">
        <v>208</v>
      </c>
      <c r="AC11" s="510"/>
      <c r="AH11" s="611" t="s">
        <v>104</v>
      </c>
      <c r="AI11" s="608" t="s">
        <v>214</v>
      </c>
      <c r="AJ11" s="510" t="s">
        <v>208</v>
      </c>
      <c r="AK11" s="510"/>
    </row>
    <row r="12" spans="2:37" x14ac:dyDescent="0.25">
      <c r="B12" s="509"/>
      <c r="C12" s="512"/>
      <c r="D12" s="408" t="s">
        <v>214</v>
      </c>
      <c r="E12" s="408" t="s">
        <v>215</v>
      </c>
      <c r="J12" s="509"/>
      <c r="K12" s="512"/>
      <c r="L12" s="408" t="s">
        <v>214</v>
      </c>
      <c r="M12" s="408" t="s">
        <v>215</v>
      </c>
      <c r="R12" s="509"/>
      <c r="S12" s="512"/>
      <c r="T12" s="408" t="s">
        <v>214</v>
      </c>
      <c r="U12" s="408" t="s">
        <v>215</v>
      </c>
      <c r="Z12" s="612"/>
      <c r="AA12" s="606"/>
      <c r="AB12" s="408" t="s">
        <v>214</v>
      </c>
      <c r="AC12" s="408" t="s">
        <v>215</v>
      </c>
      <c r="AH12" s="612"/>
      <c r="AI12" s="606"/>
      <c r="AJ12" s="408" t="s">
        <v>214</v>
      </c>
      <c r="AK12" s="408" t="s">
        <v>215</v>
      </c>
    </row>
    <row r="13" spans="2:37" ht="13.95" hidden="1" customHeight="1" x14ac:dyDescent="0.25">
      <c r="B13" s="218" t="s">
        <v>104</v>
      </c>
      <c r="C13" s="367"/>
      <c r="D13" s="367"/>
      <c r="E13" s="367"/>
      <c r="J13" s="218" t="s">
        <v>104</v>
      </c>
      <c r="K13" s="367"/>
      <c r="L13" s="367"/>
      <c r="M13" s="367"/>
      <c r="R13" s="218" t="s">
        <v>104</v>
      </c>
      <c r="S13" s="367"/>
      <c r="T13" s="367"/>
      <c r="U13" s="367"/>
      <c r="Z13" s="218" t="s">
        <v>104</v>
      </c>
      <c r="AA13" s="367"/>
      <c r="AB13" s="367"/>
      <c r="AC13" s="367"/>
      <c r="AH13" s="218" t="s">
        <v>104</v>
      </c>
      <c r="AI13" s="367"/>
      <c r="AJ13" s="367"/>
      <c r="AK13" s="367"/>
    </row>
    <row r="14" spans="2:37" x14ac:dyDescent="0.25">
      <c r="B14" s="188" t="s">
        <v>232</v>
      </c>
      <c r="C14" s="364">
        <v>28.07</v>
      </c>
      <c r="D14" s="364">
        <v>28.07</v>
      </c>
      <c r="E14" s="364">
        <v>28.07</v>
      </c>
      <c r="J14" s="188" t="s">
        <v>232</v>
      </c>
      <c r="K14" s="133">
        <v>28.07</v>
      </c>
      <c r="L14" s="364">
        <v>28.07</v>
      </c>
      <c r="M14" s="364">
        <v>28.07</v>
      </c>
      <c r="R14" s="188" t="s">
        <v>232</v>
      </c>
      <c r="S14" s="133">
        <v>28.07</v>
      </c>
      <c r="T14" s="364">
        <v>28.07</v>
      </c>
      <c r="U14" s="364">
        <v>28.07</v>
      </c>
      <c r="Z14" s="188" t="s">
        <v>232</v>
      </c>
      <c r="AA14" s="517">
        <v>23.39</v>
      </c>
      <c r="AB14" s="519">
        <v>23.39</v>
      </c>
      <c r="AC14" s="519">
        <v>23.39</v>
      </c>
      <c r="AH14" s="188" t="s">
        <v>232</v>
      </c>
      <c r="AI14" s="517">
        <v>23.39</v>
      </c>
      <c r="AJ14" s="519">
        <v>23.39</v>
      </c>
      <c r="AK14" s="519">
        <v>23.39</v>
      </c>
    </row>
    <row r="15" spans="2:37" ht="14.4" thickBot="1" x14ac:dyDescent="0.3">
      <c r="B15" s="216" t="s">
        <v>233</v>
      </c>
      <c r="C15" s="397">
        <v>0</v>
      </c>
      <c r="D15" s="397">
        <v>0</v>
      </c>
      <c r="E15" s="397">
        <v>0</v>
      </c>
      <c r="J15" s="216" t="s">
        <v>233</v>
      </c>
      <c r="K15" s="246">
        <v>0</v>
      </c>
      <c r="L15" s="397">
        <v>0</v>
      </c>
      <c r="M15" s="397">
        <v>312072.3529411765</v>
      </c>
      <c r="R15" s="216" t="s">
        <v>233</v>
      </c>
      <c r="S15" s="246">
        <v>0</v>
      </c>
      <c r="T15" s="397">
        <v>0</v>
      </c>
      <c r="U15" s="397">
        <v>0</v>
      </c>
      <c r="Z15" s="216" t="s">
        <v>233</v>
      </c>
      <c r="AA15" s="518">
        <v>0</v>
      </c>
      <c r="AB15" s="520">
        <v>253781.5</v>
      </c>
      <c r="AC15" s="520">
        <v>1534329.5</v>
      </c>
      <c r="AH15" s="216" t="s">
        <v>233</v>
      </c>
      <c r="AI15" s="518">
        <v>0</v>
      </c>
      <c r="AJ15" s="520">
        <v>1424451</v>
      </c>
      <c r="AK15" s="520">
        <v>8677291.0435294118</v>
      </c>
    </row>
    <row r="16" spans="2:37" ht="13.95" hidden="1" customHeight="1" x14ac:dyDescent="0.25">
      <c r="B16" s="218" t="s">
        <v>106</v>
      </c>
      <c r="C16" s="367"/>
      <c r="D16" s="367"/>
      <c r="E16" s="367"/>
      <c r="J16" s="218" t="s">
        <v>106</v>
      </c>
      <c r="K16" s="367"/>
      <c r="L16" s="367"/>
      <c r="M16" s="367"/>
      <c r="R16" s="218" t="s">
        <v>106</v>
      </c>
      <c r="S16" s="367"/>
      <c r="T16" s="367"/>
      <c r="U16" s="367"/>
      <c r="Z16" s="218" t="s">
        <v>106</v>
      </c>
      <c r="AA16" s="367"/>
      <c r="AB16" s="367"/>
      <c r="AC16" s="367"/>
      <c r="AH16" s="218" t="s">
        <v>106</v>
      </c>
      <c r="AI16" s="367"/>
      <c r="AJ16" s="367"/>
      <c r="AK16" s="367"/>
    </row>
    <row r="17" spans="2:39" ht="14.4" thickBot="1" x14ac:dyDescent="0.3">
      <c r="B17" s="216" t="s">
        <v>234</v>
      </c>
      <c r="C17" s="368">
        <v>0.1</v>
      </c>
      <c r="D17" s="368">
        <v>0.1</v>
      </c>
      <c r="E17" s="368">
        <v>0.1</v>
      </c>
      <c r="J17" s="216" t="s">
        <v>234</v>
      </c>
      <c r="K17" s="246">
        <v>0.1</v>
      </c>
      <c r="L17" s="368">
        <v>0.1</v>
      </c>
      <c r="M17" s="368">
        <v>0.1</v>
      </c>
      <c r="R17" s="216" t="s">
        <v>234</v>
      </c>
      <c r="S17" s="246">
        <v>0.1</v>
      </c>
      <c r="T17" s="368">
        <v>0.1</v>
      </c>
      <c r="U17" s="368">
        <v>0.1</v>
      </c>
      <c r="Z17" s="216" t="s">
        <v>234</v>
      </c>
      <c r="AA17" s="246">
        <v>0.1</v>
      </c>
      <c r="AB17" s="368">
        <v>0.1</v>
      </c>
      <c r="AC17" s="368">
        <v>0.1</v>
      </c>
      <c r="AH17" s="216" t="s">
        <v>234</v>
      </c>
      <c r="AI17" s="246">
        <v>0.1</v>
      </c>
      <c r="AJ17" s="368">
        <v>0.1</v>
      </c>
      <c r="AK17" s="368">
        <v>0.1</v>
      </c>
    </row>
    <row r="18" spans="2:39" x14ac:dyDescent="0.25">
      <c r="B18" s="153"/>
      <c r="C18" s="210"/>
      <c r="J18" s="153"/>
      <c r="K18" s="210"/>
      <c r="R18" s="153"/>
      <c r="S18" s="210"/>
      <c r="Z18" s="153"/>
      <c r="AA18" s="210"/>
      <c r="AH18" s="153"/>
      <c r="AI18" s="210"/>
    </row>
    <row r="19" spans="2:39" ht="14.4" thickBot="1" x14ac:dyDescent="0.3">
      <c r="B19" s="217" t="s">
        <v>235</v>
      </c>
      <c r="C19" s="217"/>
      <c r="D19" s="217"/>
      <c r="E19" s="246"/>
      <c r="J19" s="217" t="s">
        <v>235</v>
      </c>
      <c r="K19" s="217"/>
      <c r="L19" s="217"/>
      <c r="M19" s="246"/>
      <c r="R19" s="217" t="s">
        <v>235</v>
      </c>
      <c r="S19" s="217"/>
      <c r="T19" s="217"/>
      <c r="U19" s="246"/>
      <c r="Z19" s="217" t="s">
        <v>235</v>
      </c>
      <c r="AA19" s="217"/>
      <c r="AB19" s="217"/>
      <c r="AC19" s="246"/>
      <c r="AH19" s="217" t="s">
        <v>235</v>
      </c>
      <c r="AI19" s="217"/>
      <c r="AJ19" s="217"/>
      <c r="AK19" s="246"/>
    </row>
    <row r="20" spans="2:39" x14ac:dyDescent="0.25">
      <c r="B20" s="153" t="s">
        <v>236</v>
      </c>
      <c r="C20" s="156">
        <v>4.4999999999999998E-2</v>
      </c>
      <c r="D20" s="156">
        <v>4.7500000000000001E-2</v>
      </c>
      <c r="E20" s="156">
        <v>0.05</v>
      </c>
      <c r="G20" s="156"/>
      <c r="J20" s="153" t="s">
        <v>236</v>
      </c>
      <c r="K20" s="156">
        <v>4.4999999999999998E-2</v>
      </c>
      <c r="L20" s="156">
        <v>4.7500000000000001E-2</v>
      </c>
      <c r="M20" s="156">
        <v>0.05</v>
      </c>
      <c r="P20" s="156"/>
      <c r="R20" s="153" t="s">
        <v>236</v>
      </c>
      <c r="S20" s="156">
        <v>4.4999999999999998E-2</v>
      </c>
      <c r="T20" s="156">
        <v>4.7500000000000001E-2</v>
      </c>
      <c r="U20" s="156">
        <v>0.05</v>
      </c>
      <c r="W20" s="156"/>
      <c r="Z20" s="153" t="s">
        <v>236</v>
      </c>
      <c r="AA20" s="156">
        <v>6.7500000000000004E-2</v>
      </c>
      <c r="AB20" s="156">
        <v>7.0000000000000007E-2</v>
      </c>
      <c r="AC20" s="156">
        <v>7.2500000000000009E-2</v>
      </c>
      <c r="AE20" s="156"/>
      <c r="AH20" s="153" t="s">
        <v>236</v>
      </c>
      <c r="AI20" s="156">
        <v>6.7500000000000004E-2</v>
      </c>
      <c r="AJ20" s="156">
        <v>7.0000000000000007E-2</v>
      </c>
      <c r="AK20" s="156">
        <v>7.2500000000000009E-2</v>
      </c>
      <c r="AM20" s="372"/>
    </row>
    <row r="21" spans="2:39" x14ac:dyDescent="0.25">
      <c r="B21" s="153" t="s">
        <v>139</v>
      </c>
      <c r="C21" s="369">
        <v>364.62169432870377</v>
      </c>
      <c r="D21" s="369">
        <v>124.73497308113973</v>
      </c>
      <c r="E21" s="369">
        <v>-91.163076041667239</v>
      </c>
      <c r="G21" s="156"/>
      <c r="J21" s="153" t="s">
        <v>139</v>
      </c>
      <c r="K21" s="369">
        <v>273.17299910394269</v>
      </c>
      <c r="L21" s="369">
        <v>208.96185780984717</v>
      </c>
      <c r="M21" s="369">
        <v>151.17183064516129</v>
      </c>
      <c r="P21" s="156"/>
      <c r="R21" s="153" t="s">
        <v>139</v>
      </c>
      <c r="S21" s="369">
        <v>188.23544048431538</v>
      </c>
      <c r="T21" s="369">
        <v>33.974807292139118</v>
      </c>
      <c r="U21" s="369">
        <v>-104.85976258081897</v>
      </c>
      <c r="W21" s="156"/>
      <c r="Z21" s="153" t="s">
        <v>139</v>
      </c>
      <c r="AA21" s="369">
        <v>-739.10938711544213</v>
      </c>
      <c r="AB21" s="369">
        <v>-766.68806948444706</v>
      </c>
      <c r="AC21" s="369">
        <v>-792.3647737590378</v>
      </c>
      <c r="AE21" s="156"/>
      <c r="AH21" s="153" t="s">
        <v>139</v>
      </c>
      <c r="AI21" s="369">
        <v>-2041.5193011693807</v>
      </c>
      <c r="AJ21" s="369">
        <v>-2099.8208762469212</v>
      </c>
      <c r="AK21" s="369">
        <v>-2154.1016530432521</v>
      </c>
      <c r="AM21" s="372"/>
    </row>
    <row r="22" spans="2:39" x14ac:dyDescent="0.25">
      <c r="B22" s="153" t="s">
        <v>208</v>
      </c>
      <c r="C22" s="156"/>
      <c r="D22" s="156"/>
      <c r="E22" s="156"/>
      <c r="G22" s="156"/>
      <c r="J22" s="153" t="s">
        <v>208</v>
      </c>
      <c r="K22" s="156"/>
      <c r="L22" s="156"/>
      <c r="M22" s="156"/>
      <c r="P22" s="156"/>
      <c r="R22" s="153" t="s">
        <v>208</v>
      </c>
      <c r="S22" s="156"/>
      <c r="T22" s="156"/>
      <c r="U22" s="156"/>
      <c r="W22" s="156"/>
      <c r="Z22" s="153" t="s">
        <v>208</v>
      </c>
      <c r="AA22" s="156"/>
      <c r="AB22" s="156"/>
      <c r="AC22" s="156"/>
      <c r="AE22" s="156"/>
      <c r="AH22" s="153" t="s">
        <v>208</v>
      </c>
      <c r="AI22" s="156"/>
      <c r="AJ22" s="156"/>
      <c r="AK22" s="156"/>
      <c r="AM22" s="372"/>
    </row>
    <row r="23" spans="2:39" x14ac:dyDescent="0.25">
      <c r="B23" s="108" t="s">
        <v>214</v>
      </c>
      <c r="C23" s="369">
        <v>225.30052099537053</v>
      </c>
      <c r="D23" s="369">
        <v>-7.2535069188600492</v>
      </c>
      <c r="E23" s="369">
        <v>-216.55213204166719</v>
      </c>
      <c r="G23" s="369"/>
      <c r="J23" s="108" t="s">
        <v>214</v>
      </c>
      <c r="K23" s="369">
        <v>244.15468727598557</v>
      </c>
      <c r="L23" s="369">
        <v>181.47082555178264</v>
      </c>
      <c r="M23" s="369">
        <v>125.05534999999993</v>
      </c>
      <c r="P23" s="369"/>
      <c r="R23" s="108" t="s">
        <v>214</v>
      </c>
      <c r="S23" s="369">
        <v>99.056953127993381</v>
      </c>
      <c r="T23" s="369">
        <v>-50.510075466481162</v>
      </c>
      <c r="U23" s="369">
        <v>-185.1204012015088</v>
      </c>
      <c r="W23" s="369"/>
      <c r="Z23" s="108" t="s">
        <v>214</v>
      </c>
      <c r="AA23" s="369">
        <v>-743.20263711544214</v>
      </c>
      <c r="AB23" s="369">
        <v>-770.78131948444707</v>
      </c>
      <c r="AC23" s="369">
        <v>-796.45802375903781</v>
      </c>
      <c r="AE23" s="369"/>
      <c r="AH23" s="108" t="s">
        <v>214</v>
      </c>
      <c r="AI23" s="369">
        <v>-2051.3431011693806</v>
      </c>
      <c r="AJ23" s="369">
        <v>-2109.6446762469213</v>
      </c>
      <c r="AK23" s="369">
        <v>-2163.9254530432522</v>
      </c>
      <c r="AM23" s="369"/>
    </row>
    <row r="24" spans="2:39" x14ac:dyDescent="0.25">
      <c r="B24" s="393" t="s">
        <v>215</v>
      </c>
      <c r="C24" s="370">
        <v>25.381873096065295</v>
      </c>
      <c r="D24" s="370">
        <v>-381.96683926260926</v>
      </c>
      <c r="E24" s="370">
        <v>-748.58068038541705</v>
      </c>
      <c r="G24" s="194"/>
      <c r="J24" s="393" t="s">
        <v>215</v>
      </c>
      <c r="K24" s="370">
        <v>143.16669262432811</v>
      </c>
      <c r="L24" s="370">
        <v>60.171154989919351</v>
      </c>
      <c r="M24" s="370">
        <v>-14.524828881048387</v>
      </c>
      <c r="P24" s="194"/>
      <c r="R24" s="393" t="s">
        <v>215</v>
      </c>
      <c r="S24" s="370">
        <v>-99.837180675287087</v>
      </c>
      <c r="T24" s="370">
        <v>-313.61347952586209</v>
      </c>
      <c r="U24" s="370">
        <v>-506.01214849137972</v>
      </c>
      <c r="W24" s="194"/>
      <c r="Z24" s="393" t="s">
        <v>215</v>
      </c>
      <c r="AA24" s="370">
        <v>-1383.8834428670098</v>
      </c>
      <c r="AB24" s="370">
        <v>-1420.0286792554723</v>
      </c>
      <c r="AC24" s="370">
        <v>-1453.6811407205923</v>
      </c>
      <c r="AE24" s="194"/>
      <c r="AH24" s="393" t="s">
        <v>215</v>
      </c>
      <c r="AI24" s="370">
        <v>-3629.8642145802155</v>
      </c>
      <c r="AJ24" s="370">
        <v>-3704.6123052570993</v>
      </c>
      <c r="AK24" s="370">
        <v>-3774.2053551976469</v>
      </c>
      <c r="AM24" s="194"/>
    </row>
    <row r="25" spans="2:39" ht="14.4" thickBot="1" x14ac:dyDescent="0.3">
      <c r="B25" s="251" t="s">
        <v>237</v>
      </c>
      <c r="C25" s="371">
        <v>-0.88734214646318177</v>
      </c>
      <c r="D25" s="371">
        <v>-51.659609142916295</v>
      </c>
      <c r="E25" s="371">
        <v>-2.4568151018775528</v>
      </c>
      <c r="G25" s="388"/>
      <c r="J25" s="251" t="s">
        <v>237</v>
      </c>
      <c r="K25" s="371">
        <v>-0.4136230017878112</v>
      </c>
      <c r="L25" s="371">
        <v>-0.66842518731613121</v>
      </c>
      <c r="M25" s="371">
        <v>-1.1161472010677542</v>
      </c>
      <c r="P25" s="388"/>
      <c r="R25" s="251" t="s">
        <v>237</v>
      </c>
      <c r="S25" s="371">
        <v>-2.0078765550792337</v>
      </c>
      <c r="T25" s="371">
        <v>-5.2089291419486825</v>
      </c>
      <c r="U25" s="371">
        <v>-1.7334218444166571</v>
      </c>
      <c r="W25" s="388"/>
      <c r="Z25" s="251" t="s">
        <v>237</v>
      </c>
      <c r="AA25" s="371">
        <v>-0.86205399948284933</v>
      </c>
      <c r="AB25" s="371">
        <v>-0.84232368294198889</v>
      </c>
      <c r="AC25" s="371">
        <v>-0.82518236662324373</v>
      </c>
      <c r="AE25" s="388"/>
      <c r="AH25" s="251" t="s">
        <v>237</v>
      </c>
      <c r="AI25" s="371">
        <v>-0.76950614088447189</v>
      </c>
      <c r="AJ25" s="371">
        <v>-0.75603614531317243</v>
      </c>
      <c r="AK25" s="371">
        <v>-0.74414758599459419</v>
      </c>
      <c r="AM25" s="388"/>
    </row>
    <row r="26" spans="2:39" x14ac:dyDescent="0.25">
      <c r="B26" s="153"/>
      <c r="C26" s="388"/>
      <c r="D26" s="388"/>
      <c r="E26" s="388"/>
      <c r="G26" s="388"/>
      <c r="J26" s="153"/>
      <c r="K26" s="388"/>
      <c r="L26" s="388"/>
      <c r="M26" s="388"/>
      <c r="P26" s="388"/>
      <c r="R26" s="153"/>
      <c r="S26" s="388"/>
      <c r="T26" s="388"/>
      <c r="U26" s="388"/>
      <c r="W26" s="388"/>
      <c r="Z26" s="153"/>
      <c r="AA26" s="388"/>
      <c r="AB26" s="388"/>
      <c r="AC26" s="388"/>
      <c r="AE26" s="388"/>
      <c r="AH26" s="153"/>
      <c r="AI26" s="388"/>
      <c r="AJ26" s="388"/>
      <c r="AK26" s="388"/>
    </row>
    <row r="27" spans="2:39" ht="14.4" thickBot="1" x14ac:dyDescent="0.3">
      <c r="B27" s="251" t="s">
        <v>218</v>
      </c>
      <c r="C27" s="246"/>
      <c r="D27" s="246"/>
      <c r="E27" s="246"/>
      <c r="J27" s="251" t="s">
        <v>218</v>
      </c>
      <c r="K27" s="246"/>
      <c r="L27" s="246"/>
      <c r="M27" s="246"/>
      <c r="R27" s="251" t="s">
        <v>218</v>
      </c>
      <c r="S27" s="246"/>
      <c r="T27" s="246"/>
      <c r="U27" s="246"/>
      <c r="Z27" s="251" t="s">
        <v>218</v>
      </c>
      <c r="AA27" s="246"/>
      <c r="AB27" s="246"/>
      <c r="AC27" s="246"/>
      <c r="AH27" s="251" t="s">
        <v>218</v>
      </c>
      <c r="AI27" s="246"/>
      <c r="AJ27" s="246"/>
      <c r="AK27" s="246"/>
    </row>
    <row r="28" spans="2:39" x14ac:dyDescent="0.25">
      <c r="B28" s="153" t="s">
        <v>238</v>
      </c>
      <c r="C28" s="392">
        <v>410</v>
      </c>
      <c r="D28" s="392">
        <v>385</v>
      </c>
      <c r="E28" s="392">
        <v>360</v>
      </c>
      <c r="G28" s="392"/>
      <c r="J28" s="153" t="s">
        <v>238</v>
      </c>
      <c r="K28" s="392">
        <v>290</v>
      </c>
      <c r="L28" s="392">
        <v>265</v>
      </c>
      <c r="M28" s="392">
        <v>240</v>
      </c>
      <c r="P28" s="392"/>
      <c r="R28" s="153" t="s">
        <v>238</v>
      </c>
      <c r="S28" s="392">
        <v>410</v>
      </c>
      <c r="T28" s="392">
        <v>385</v>
      </c>
      <c r="U28" s="392">
        <v>360</v>
      </c>
      <c r="W28" s="392"/>
      <c r="Z28" s="153" t="s">
        <v>238</v>
      </c>
      <c r="AA28" s="392">
        <v>365</v>
      </c>
      <c r="AB28" s="392">
        <v>340</v>
      </c>
      <c r="AC28" s="392">
        <v>315</v>
      </c>
      <c r="AE28" s="392"/>
      <c r="AH28" s="153" t="s">
        <v>238</v>
      </c>
      <c r="AI28" s="392">
        <v>425</v>
      </c>
      <c r="AJ28" s="392">
        <v>400</v>
      </c>
      <c r="AK28" s="392">
        <v>375</v>
      </c>
      <c r="AM28" s="392"/>
    </row>
    <row r="29" spans="2:39" x14ac:dyDescent="0.25">
      <c r="B29" s="153" t="s">
        <v>239</v>
      </c>
      <c r="C29" s="392"/>
      <c r="D29" s="392"/>
      <c r="E29" s="392"/>
      <c r="G29" s="392"/>
      <c r="J29" s="153" t="s">
        <v>239</v>
      </c>
      <c r="K29" s="392"/>
      <c r="L29" s="392"/>
      <c r="M29" s="392"/>
      <c r="P29" s="392"/>
      <c r="R29" s="153" t="str">
        <f>IF(OR(S3='Lookup Lists'!$B$5,S3='Lookup Lists'!$B$6),"Total Development Cost","Total Development Cost Per Unit")</f>
        <v>Total Development Cost Per Unit</v>
      </c>
      <c r="S29" s="392"/>
      <c r="T29" s="392"/>
      <c r="U29" s="392"/>
      <c r="W29" s="392"/>
      <c r="Z29" s="153" t="str">
        <f>IF(OR(AA3='Lookup Lists'!$B$5,AA3='Lookup Lists'!$B$6),"Total Development Cost","Total Development Cost Per Unit")</f>
        <v>Total Development Cost Per Unit</v>
      </c>
      <c r="AA29" s="392"/>
      <c r="AB29" s="392"/>
      <c r="AC29" s="392"/>
      <c r="AE29" s="392"/>
      <c r="AH29" s="153" t="str">
        <f>IF(OR(AI3='Lookup Lists'!$B$5,AI3='Lookup Lists'!$B$6),"Total Development Cost","Total Development Cost Per Unit")</f>
        <v>Total Development Cost Per Unit</v>
      </c>
      <c r="AI29" s="392"/>
      <c r="AJ29" s="392"/>
      <c r="AK29" s="392"/>
      <c r="AM29" s="392"/>
    </row>
    <row r="30" spans="2:39" x14ac:dyDescent="0.25">
      <c r="B30" s="215" t="s">
        <v>139</v>
      </c>
      <c r="C30" s="392">
        <v>563900</v>
      </c>
      <c r="D30" s="392">
        <v>536700</v>
      </c>
      <c r="E30" s="392">
        <v>509600</v>
      </c>
      <c r="G30" s="392"/>
      <c r="J30" s="215" t="s">
        <v>139</v>
      </c>
      <c r="K30" s="392">
        <v>531100</v>
      </c>
      <c r="L30" s="392">
        <v>500000</v>
      </c>
      <c r="M30" s="392">
        <v>468900</v>
      </c>
      <c r="P30" s="392"/>
      <c r="R30" s="215" t="s">
        <v>139</v>
      </c>
      <c r="S30" s="392">
        <v>592600</v>
      </c>
      <c r="T30" s="392">
        <v>564600</v>
      </c>
      <c r="U30" s="392">
        <v>536600</v>
      </c>
      <c r="W30" s="392"/>
      <c r="Z30" s="215" t="s">
        <v>139</v>
      </c>
      <c r="AA30" s="392">
        <v>107232900</v>
      </c>
      <c r="AB30" s="392">
        <v>103001400</v>
      </c>
      <c r="AC30" s="392">
        <v>98769900</v>
      </c>
      <c r="AE30" s="392"/>
      <c r="AH30" s="215" t="s">
        <v>139</v>
      </c>
      <c r="AI30" s="392">
        <v>588966600</v>
      </c>
      <c r="AJ30" s="392">
        <v>567524700</v>
      </c>
      <c r="AK30" s="392">
        <v>546082800</v>
      </c>
      <c r="AM30" s="392"/>
    </row>
    <row r="31" spans="2:39" x14ac:dyDescent="0.25">
      <c r="B31" s="215" t="s">
        <v>208</v>
      </c>
      <c r="C31" s="392"/>
      <c r="D31" s="392"/>
      <c r="E31" s="392"/>
      <c r="G31" s="392"/>
      <c r="J31" s="215" t="s">
        <v>208</v>
      </c>
      <c r="K31" s="392"/>
      <c r="L31" s="392"/>
      <c r="M31" s="392"/>
      <c r="P31" s="392"/>
      <c r="R31" s="215" t="s">
        <v>208</v>
      </c>
      <c r="S31" s="392"/>
      <c r="T31" s="392"/>
      <c r="U31" s="392"/>
      <c r="W31" s="392"/>
      <c r="Z31" s="215" t="s">
        <v>208</v>
      </c>
      <c r="AA31" s="392"/>
      <c r="AB31" s="392"/>
      <c r="AC31" s="392"/>
      <c r="AE31" s="392"/>
      <c r="AH31" s="215" t="s">
        <v>208</v>
      </c>
      <c r="AI31" s="392"/>
      <c r="AJ31" s="392"/>
      <c r="AK31" s="392"/>
      <c r="AM31" s="392"/>
    </row>
    <row r="32" spans="2:39" x14ac:dyDescent="0.25">
      <c r="B32" s="188" t="s">
        <v>214</v>
      </c>
      <c r="C32" s="247">
        <v>563900</v>
      </c>
      <c r="D32" s="247">
        <v>536700</v>
      </c>
      <c r="E32" s="247">
        <v>509600</v>
      </c>
      <c r="G32" s="247"/>
      <c r="J32" s="188" t="s">
        <v>214</v>
      </c>
      <c r="K32" s="247">
        <v>531100</v>
      </c>
      <c r="L32" s="247">
        <v>500000</v>
      </c>
      <c r="M32" s="247">
        <v>468900</v>
      </c>
      <c r="P32" s="247"/>
      <c r="R32" s="188" t="s">
        <v>214</v>
      </c>
      <c r="S32" s="247">
        <v>592600</v>
      </c>
      <c r="T32" s="247">
        <v>564600</v>
      </c>
      <c r="U32" s="247">
        <v>536600</v>
      </c>
      <c r="W32" s="247"/>
      <c r="Z32" s="188" t="s">
        <v>214</v>
      </c>
      <c r="AA32" s="247">
        <v>107486700</v>
      </c>
      <c r="AB32" s="247">
        <v>103255200</v>
      </c>
      <c r="AC32" s="247">
        <v>99023700</v>
      </c>
      <c r="AE32" s="247"/>
      <c r="AH32" s="188" t="s">
        <v>214</v>
      </c>
      <c r="AI32" s="247">
        <v>590391000</v>
      </c>
      <c r="AJ32" s="247">
        <v>568949100</v>
      </c>
      <c r="AK32" s="247">
        <v>547507300</v>
      </c>
      <c r="AM32" s="247"/>
    </row>
    <row r="33" spans="2:41" x14ac:dyDescent="0.25">
      <c r="B33" s="188" t="s">
        <v>215</v>
      </c>
      <c r="C33" s="247">
        <v>531600</v>
      </c>
      <c r="D33" s="247">
        <v>505100</v>
      </c>
      <c r="E33" s="247">
        <v>478600</v>
      </c>
      <c r="G33" s="247"/>
      <c r="J33" s="188" t="s">
        <v>215</v>
      </c>
      <c r="K33" s="247">
        <v>489900</v>
      </c>
      <c r="L33" s="247">
        <v>458800</v>
      </c>
      <c r="M33" s="247">
        <v>427800</v>
      </c>
      <c r="P33" s="247"/>
      <c r="R33" s="188" t="s">
        <v>215</v>
      </c>
      <c r="S33" s="247">
        <v>552900</v>
      </c>
      <c r="T33" s="247">
        <v>525700</v>
      </c>
      <c r="U33" s="247">
        <v>498600</v>
      </c>
      <c r="W33" s="247"/>
      <c r="Z33" s="188" t="s">
        <v>215</v>
      </c>
      <c r="AA33" s="247">
        <v>164498400</v>
      </c>
      <c r="AB33" s="247">
        <v>157848900</v>
      </c>
      <c r="AC33" s="247">
        <v>151199400</v>
      </c>
      <c r="AE33" s="247"/>
      <c r="AH33" s="188" t="s">
        <v>215</v>
      </c>
      <c r="AI33" s="247">
        <v>897595100</v>
      </c>
      <c r="AJ33" s="247">
        <v>864607600</v>
      </c>
      <c r="AK33" s="247">
        <v>831620100</v>
      </c>
      <c r="AM33" s="247"/>
    </row>
    <row r="34" spans="2:41" x14ac:dyDescent="0.25">
      <c r="B34" s="153" t="s">
        <v>218</v>
      </c>
      <c r="C34" s="247"/>
      <c r="D34" s="247"/>
      <c r="E34" s="247"/>
      <c r="G34" s="247"/>
      <c r="J34" s="153" t="s">
        <v>218</v>
      </c>
      <c r="K34" s="247"/>
      <c r="L34" s="247"/>
      <c r="M34" s="247"/>
      <c r="P34" s="247"/>
      <c r="R34" s="153" t="s">
        <v>218</v>
      </c>
      <c r="S34" s="247"/>
      <c r="T34" s="247"/>
      <c r="U34" s="247"/>
      <c r="W34" s="247"/>
      <c r="Z34" s="153" t="s">
        <v>218</v>
      </c>
      <c r="AA34" s="247"/>
      <c r="AB34" s="247"/>
      <c r="AC34" s="247"/>
      <c r="AE34" s="247"/>
      <c r="AH34" s="153" t="s">
        <v>218</v>
      </c>
      <c r="AI34" s="247"/>
      <c r="AJ34" s="247"/>
      <c r="AK34" s="247"/>
      <c r="AM34" s="247"/>
    </row>
    <row r="35" spans="2:41" x14ac:dyDescent="0.25">
      <c r="B35" s="215" t="s">
        <v>139</v>
      </c>
      <c r="C35" s="390">
        <v>4.344737361569969E-2</v>
      </c>
      <c r="D35" s="390">
        <v>4.5647191180395605E-2</v>
      </c>
      <c r="E35" s="390">
        <v>4.8081650395712522E-2</v>
      </c>
      <c r="G35" s="247"/>
      <c r="J35" s="215" t="s">
        <v>139</v>
      </c>
      <c r="K35" s="515">
        <v>4.7121327749956622E-2</v>
      </c>
      <c r="L35" s="515">
        <v>5.0053418550087173E-2</v>
      </c>
      <c r="M35" s="515">
        <v>5.3374615705232248E-2</v>
      </c>
      <c r="P35" s="247"/>
      <c r="R35" s="215" t="s">
        <v>139</v>
      </c>
      <c r="S35" s="515">
        <v>4.2130325077719091E-2</v>
      </c>
      <c r="T35" s="515">
        <v>4.4219032345920811E-2</v>
      </c>
      <c r="U35" s="515">
        <v>4.6525647795205148E-2</v>
      </c>
      <c r="W35" s="247"/>
      <c r="Z35" s="215" t="s">
        <v>139</v>
      </c>
      <c r="AA35" s="515">
        <v>3.0136933400723698E-2</v>
      </c>
      <c r="AB35" s="515">
        <v>3.1375018175690383E-2</v>
      </c>
      <c r="AC35" s="515">
        <v>3.2719187032404055E-2</v>
      </c>
      <c r="AE35" s="247"/>
      <c r="AH35" s="215" t="s">
        <v>139</v>
      </c>
      <c r="AI35" s="515">
        <v>2.7128104556284127E-2</v>
      </c>
      <c r="AJ35" s="515">
        <v>2.8153042208444262E-2</v>
      </c>
      <c r="AK35" s="515">
        <v>2.9258467963421492E-2</v>
      </c>
      <c r="AM35" s="247"/>
    </row>
    <row r="36" spans="2:41" x14ac:dyDescent="0.25">
      <c r="B36" s="215" t="s">
        <v>208</v>
      </c>
      <c r="C36" s="247"/>
      <c r="D36" s="247"/>
      <c r="E36" s="247"/>
      <c r="G36" s="247"/>
      <c r="J36" s="215" t="s">
        <v>208</v>
      </c>
      <c r="K36" s="247"/>
      <c r="L36" s="247"/>
      <c r="M36" s="247"/>
      <c r="P36" s="247"/>
      <c r="R36" s="215" t="s">
        <v>208</v>
      </c>
      <c r="S36" s="247"/>
      <c r="T36" s="247"/>
      <c r="U36" s="247"/>
      <c r="W36" s="247"/>
      <c r="Z36" s="215" t="s">
        <v>208</v>
      </c>
      <c r="AA36" s="247"/>
      <c r="AB36" s="247"/>
      <c r="AC36" s="247"/>
      <c r="AE36" s="247"/>
      <c r="AH36" s="215" t="s">
        <v>208</v>
      </c>
      <c r="AI36" s="247"/>
      <c r="AJ36" s="247"/>
      <c r="AK36" s="247"/>
      <c r="AM36" s="247"/>
    </row>
    <row r="37" spans="2:41" x14ac:dyDescent="0.25">
      <c r="B37" s="188" t="s">
        <v>214</v>
      </c>
      <c r="C37" s="390">
        <v>4.2119303995147815E-2</v>
      </c>
      <c r="D37" s="390">
        <v>4.4251879040093978E-2</v>
      </c>
      <c r="E37" s="390">
        <v>4.6611923370061717E-2</v>
      </c>
      <c r="G37" s="390"/>
      <c r="J37" s="188" t="s">
        <v>214</v>
      </c>
      <c r="K37" s="390">
        <v>4.6000534072593129E-2</v>
      </c>
      <c r="L37" s="390">
        <v>4.8862884290546527E-2</v>
      </c>
      <c r="M37" s="390">
        <v>5.2105085862364321E-2</v>
      </c>
      <c r="P37" s="390"/>
      <c r="R37" s="188" t="s">
        <v>214</v>
      </c>
      <c r="S37" s="390">
        <v>4.0848448532838845E-2</v>
      </c>
      <c r="T37" s="390">
        <v>4.287360383814235E-2</v>
      </c>
      <c r="U37" s="390">
        <v>4.5110037150520754E-2</v>
      </c>
      <c r="W37" s="390"/>
      <c r="Z37" s="188" t="s">
        <v>214</v>
      </c>
      <c r="AA37" s="390">
        <v>3.0065778557492134E-2</v>
      </c>
      <c r="AB37" s="390">
        <v>3.1297904359040639E-2</v>
      </c>
      <c r="AC37" s="390">
        <v>3.2635333085868266E-2</v>
      </c>
      <c r="AE37" s="390"/>
      <c r="AH37" s="188" t="s">
        <v>214</v>
      </c>
      <c r="AI37" s="390">
        <v>2.7062651908144164E-2</v>
      </c>
      <c r="AJ37" s="390">
        <v>2.8082556771361469E-2</v>
      </c>
      <c r="AK37" s="390">
        <v>2.9182346135873498E-2</v>
      </c>
      <c r="AM37" s="390"/>
    </row>
    <row r="38" spans="2:41" x14ac:dyDescent="0.25">
      <c r="B38" s="188" t="s">
        <v>215</v>
      </c>
      <c r="C38" s="391">
        <v>4.1289656142869259E-2</v>
      </c>
      <c r="D38" s="391">
        <v>4.3458018469078243E-2</v>
      </c>
      <c r="E38" s="391">
        <v>4.5866750922091172E-2</v>
      </c>
      <c r="G38" s="390"/>
      <c r="J38" s="188" t="s">
        <v>215</v>
      </c>
      <c r="K38" s="391">
        <v>4.1964072550146496E-2</v>
      </c>
      <c r="L38" s="391">
        <v>4.4805841124679606E-2</v>
      </c>
      <c r="M38" s="391">
        <v>4.8060450856841762E-2</v>
      </c>
      <c r="P38" s="390"/>
      <c r="R38" s="188" t="s">
        <v>215</v>
      </c>
      <c r="S38" s="391">
        <v>3.9484836014330817E-2</v>
      </c>
      <c r="T38" s="391">
        <v>4.1525645495399499E-2</v>
      </c>
      <c r="U38" s="391">
        <v>4.3788915204367021E-2</v>
      </c>
      <c r="W38" s="390"/>
      <c r="Z38" s="188" t="s">
        <v>215</v>
      </c>
      <c r="AA38" s="391">
        <v>2.5747962906834232E-2</v>
      </c>
      <c r="AB38" s="391">
        <v>2.6832614590797894E-2</v>
      </c>
      <c r="AC38" s="391">
        <v>2.8012668653208964E-2</v>
      </c>
      <c r="AE38" s="390"/>
      <c r="AH38" s="188" t="s">
        <v>215</v>
      </c>
      <c r="AI38" s="391">
        <v>2.2821776967930387E-2</v>
      </c>
      <c r="AJ38" s="391">
        <v>2.3692499597711643E-2</v>
      </c>
      <c r="AK38" s="391">
        <v>2.4632299355755987E-2</v>
      </c>
      <c r="AM38" s="390"/>
    </row>
    <row r="39" spans="2:41" ht="14.4" thickBot="1" x14ac:dyDescent="0.3">
      <c r="B39" s="251" t="s">
        <v>237</v>
      </c>
      <c r="C39" s="389">
        <v>-1.9697567945902723E-2</v>
      </c>
      <c r="D39" s="389">
        <v>-1.7939590097325937E-2</v>
      </c>
      <c r="E39" s="389">
        <v>-1.5986734596949936E-2</v>
      </c>
      <c r="G39" s="395"/>
      <c r="J39" s="251" t="s">
        <v>237</v>
      </c>
      <c r="K39" s="389">
        <v>-8.7748144751465723E-2</v>
      </c>
      <c r="L39" s="389">
        <v>-8.3029138061991858E-2</v>
      </c>
      <c r="M39" s="389">
        <v>-7.7624572315387219E-2</v>
      </c>
      <c r="P39" s="395"/>
      <c r="R39" s="251" t="s">
        <v>237</v>
      </c>
      <c r="S39" s="389">
        <v>-3.3382235249688717E-2</v>
      </c>
      <c r="T39" s="389">
        <v>-3.1440285445368713E-2</v>
      </c>
      <c r="U39" s="389">
        <v>-2.928665169894417E-2</v>
      </c>
      <c r="W39" s="395"/>
      <c r="Z39" s="251" t="s">
        <v>237</v>
      </c>
      <c r="AA39" s="389">
        <v>-0.14361230135455577</v>
      </c>
      <c r="AB39" s="389">
        <v>-0.14267056723728888</v>
      </c>
      <c r="AC39" s="389">
        <v>-0.14164600129854371</v>
      </c>
      <c r="AE39" s="395"/>
      <c r="AH39" s="251" t="s">
        <v>237</v>
      </c>
      <c r="AI39" s="389">
        <v>-0.15670581562398692</v>
      </c>
      <c r="AJ39" s="389">
        <v>-0.15632683339313311</v>
      </c>
      <c r="AK39" s="389">
        <v>-0.15591778532584105</v>
      </c>
      <c r="AM39" s="395"/>
    </row>
    <row r="41" spans="2:41" x14ac:dyDescent="0.25">
      <c r="C41" s="133" t="s">
        <v>139</v>
      </c>
      <c r="D41" s="124" t="s">
        <v>214</v>
      </c>
      <c r="E41" s="133" t="s">
        <v>215</v>
      </c>
      <c r="G41" s="133" t="s">
        <v>139</v>
      </c>
      <c r="H41" s="124" t="s">
        <v>214</v>
      </c>
      <c r="I41" s="133" t="s">
        <v>215</v>
      </c>
      <c r="K41" s="133" t="s">
        <v>139</v>
      </c>
      <c r="L41" s="124" t="s">
        <v>214</v>
      </c>
      <c r="M41" s="133" t="s">
        <v>215</v>
      </c>
      <c r="O41" s="133" t="s">
        <v>139</v>
      </c>
      <c r="P41" s="124" t="s">
        <v>214</v>
      </c>
      <c r="Q41" s="133" t="s">
        <v>215</v>
      </c>
      <c r="S41" s="133" t="s">
        <v>139</v>
      </c>
      <c r="T41" s="124" t="s">
        <v>214</v>
      </c>
      <c r="U41" s="133" t="s">
        <v>215</v>
      </c>
      <c r="W41" s="133" t="s">
        <v>139</v>
      </c>
      <c r="X41" s="124" t="s">
        <v>214</v>
      </c>
      <c r="Y41" s="133" t="s">
        <v>215</v>
      </c>
      <c r="AA41" s="133" t="s">
        <v>139</v>
      </c>
      <c r="AB41" s="124" t="s">
        <v>214</v>
      </c>
      <c r="AC41" s="133" t="s">
        <v>215</v>
      </c>
      <c r="AE41" s="133" t="s">
        <v>139</v>
      </c>
      <c r="AF41" s="124" t="s">
        <v>214</v>
      </c>
      <c r="AG41" s="133" t="s">
        <v>215</v>
      </c>
      <c r="AI41" s="133" t="s">
        <v>139</v>
      </c>
      <c r="AJ41" s="124" t="s">
        <v>214</v>
      </c>
      <c r="AK41" s="133" t="s">
        <v>215</v>
      </c>
      <c r="AM41" s="133" t="s">
        <v>139</v>
      </c>
      <c r="AN41" s="124" t="s">
        <v>214</v>
      </c>
      <c r="AO41" s="133" t="s">
        <v>215</v>
      </c>
    </row>
    <row r="42" spans="2:41" x14ac:dyDescent="0.25">
      <c r="B42" s="156">
        <f>C20</f>
        <v>4.4999999999999998E-2</v>
      </c>
      <c r="C42" s="369">
        <f>INDEX($C$21:$E$24,MATCH(C$41,$B$21:$B$24,0),MATCH($B42,$C$20:$E$20,0))</f>
        <v>364.62169432870377</v>
      </c>
      <c r="D42" s="369">
        <f t="shared" ref="D42:E42" si="0">INDEX($C$21:$E$24,MATCH(D$41,$B$21:$B$24,0),MATCH($B42,$C$20:$E$20,0))</f>
        <v>225.30052099537053</v>
      </c>
      <c r="E42" s="369">
        <f t="shared" si="0"/>
        <v>25.381873096065295</v>
      </c>
      <c r="F42" s="247">
        <f>C28</f>
        <v>410</v>
      </c>
      <c r="G42" s="394">
        <f>INDEX($C$35:$E$38,MATCH(G$41,$B$35:$B$38,0),MATCH($F42,$C$28:$E$28,0))</f>
        <v>4.344737361569969E-2</v>
      </c>
      <c r="H42" s="394">
        <f t="shared" ref="H42:I44" si="1">INDEX($C$37:$G$38,MATCH(H$41,$B$37:$B$38,0),MATCH($F42,$C$28:$G$28,0))</f>
        <v>4.2119303995147815E-2</v>
      </c>
      <c r="I42" s="394">
        <f t="shared" si="1"/>
        <v>4.1289656142869259E-2</v>
      </c>
      <c r="J42" s="156">
        <f>K20</f>
        <v>4.4999999999999998E-2</v>
      </c>
      <c r="K42" s="369">
        <f>INDEX($K$21:$M$24,MATCH(K$41,$J$21:$J$24,0),MATCH($J42,$K$20:$M$20,0))</f>
        <v>273.17299910394269</v>
      </c>
      <c r="L42" s="369">
        <f t="shared" ref="L42:M42" si="2">INDEX($K$21:$M$24,MATCH(L$41,$J$21:$J$24,0),MATCH($J42,$K$20:$M$20,0))</f>
        <v>244.15468727598557</v>
      </c>
      <c r="M42" s="369">
        <f t="shared" si="2"/>
        <v>143.16669262432811</v>
      </c>
      <c r="N42" s="247">
        <f>K28</f>
        <v>290</v>
      </c>
      <c r="O42" s="394">
        <f>INDEX($K$35:$M$38,MATCH(O$41,$J$35:$J$38,0),MATCH($N42,$K$28:$M$28,0))</f>
        <v>4.7121327749956622E-2</v>
      </c>
      <c r="P42" s="394">
        <f t="shared" ref="P42:Q42" si="3">INDEX($K$35:$M$38,MATCH(P$41,$J$35:$J$38,0),MATCH($N42,$K$28:$M$28,0))</f>
        <v>4.6000534072593129E-2</v>
      </c>
      <c r="Q42" s="394">
        <f t="shared" si="3"/>
        <v>4.1964072550146496E-2</v>
      </c>
      <c r="R42" s="156">
        <f>S20</f>
        <v>4.4999999999999998E-2</v>
      </c>
      <c r="S42" s="369">
        <f>INDEX($S$21:$U$24,MATCH(S$41,$R$21:$R$24,0),MATCH($R42,$S$20:$U$20,0))</f>
        <v>188.23544048431538</v>
      </c>
      <c r="T42" s="369">
        <f t="shared" ref="T42:U42" si="4">INDEX($S$21:$U$24,MATCH(T$41,$R$21:$R$24,0),MATCH($R42,$S$20:$U$20,0))</f>
        <v>99.056953127993381</v>
      </c>
      <c r="U42" s="369">
        <f t="shared" si="4"/>
        <v>-99.837180675287087</v>
      </c>
      <c r="V42" s="247">
        <f>S28</f>
        <v>410</v>
      </c>
      <c r="W42" s="394">
        <f>INDEX($S$35:$U$38,MATCH(W$41,$R$35:$R$38,0),MATCH($V42,$S$28:$U$28,0))</f>
        <v>4.2130325077719091E-2</v>
      </c>
      <c r="X42" s="394">
        <f>INDEX($S$35:$U$38,MATCH(X$41,$R$35:$R$38,0),MATCH($V42,$S$28:$U$28,0))</f>
        <v>4.0848448532838845E-2</v>
      </c>
      <c r="Y42" s="394">
        <f>INDEX($S$35:$U$38,MATCH(Y$41,$R$35:$R$38,0),MATCH($V42,$S$28:$U$28,0))</f>
        <v>3.9484836014330817E-2</v>
      </c>
      <c r="Z42" s="156">
        <f>AA20</f>
        <v>6.7500000000000004E-2</v>
      </c>
      <c r="AA42" s="369">
        <f>INDEX($AA$21:$AC$24,MATCH(AA$41,$Z$21:$Z$24,0),MATCH($Z42,$AA$20:$AC$20,0))</f>
        <v>-739.10938711544213</v>
      </c>
      <c r="AB42" s="369">
        <f>INDEX($AA$21:$AC$24,MATCH(AB$41,$Z$21:$Z$24,0),MATCH($Z42,$AA$20:$AC$20,0))</f>
        <v>-743.20263711544214</v>
      </c>
      <c r="AC42" s="369">
        <f>INDEX($AA$21:$AC$24,MATCH(AC$41,$Z$21:$Z$24,0),MATCH($Z42,$AA$20:$AC$20,0))</f>
        <v>-1383.8834428670098</v>
      </c>
      <c r="AD42" s="247">
        <f>AA28</f>
        <v>365</v>
      </c>
      <c r="AE42" s="396">
        <f>INDEX($AA$35:$AC$38,MATCH(AE$41,$Z$35:$Z$38,0),MATCH($AD42,$AA$28:$AC$28,0))</f>
        <v>3.0136933400723698E-2</v>
      </c>
      <c r="AF42" s="396">
        <f t="shared" ref="AF42:AG42" si="5">INDEX($AA$35:$AC$38,MATCH(AF$41,$Z$35:$Z$38,0),MATCH($AD42,$AA$28:$AC$28,0))</f>
        <v>3.0065778557492134E-2</v>
      </c>
      <c r="AG42" s="396">
        <f t="shared" si="5"/>
        <v>2.5747962906834232E-2</v>
      </c>
      <c r="AH42" s="156">
        <f>AI20</f>
        <v>6.7500000000000004E-2</v>
      </c>
      <c r="AI42" s="369">
        <f>INDEX($AI$21:$AK$24,MATCH(AI$41,$AH$21:$AH$24,0),MATCH($AH42,$AI$20:$AK$20,0))</f>
        <v>-2041.5193011693807</v>
      </c>
      <c r="AJ42" s="369">
        <f t="shared" ref="AJ42:AK42" si="6">INDEX($AI$21:$AK$24,MATCH(AJ$41,$AH$21:$AH$24,0),MATCH($AH42,$AI$20:$AK$20,0))</f>
        <v>-2051.3431011693806</v>
      </c>
      <c r="AK42" s="369">
        <f t="shared" si="6"/>
        <v>-3629.8642145802155</v>
      </c>
      <c r="AL42" s="247">
        <f>AI28</f>
        <v>425</v>
      </c>
      <c r="AM42" s="394">
        <f>INDEX($AI$35:$AK$38,MATCH(AM$41,$AH$35:$AH$38,0),MATCH($AL42,$AI$28:$AK$28,0))</f>
        <v>2.7128104556284127E-2</v>
      </c>
      <c r="AN42" s="394">
        <f t="shared" ref="AN42" si="7">INDEX($AI$37:$AM$38,MATCH(AN$41,$AH$37:$AH$38,0),MATCH($AL42,$AI$28:$AM$28,0))</f>
        <v>2.7062651908144164E-2</v>
      </c>
      <c r="AO42" s="394">
        <f>INDEX($AI$37:$AM$38,MATCH(AO$41,$AH$37:$AH$38,0),MATCH($AL42,$AI$28:$AM$28,0))</f>
        <v>2.2821776967930387E-2</v>
      </c>
    </row>
    <row r="43" spans="2:41" x14ac:dyDescent="0.25">
      <c r="B43" s="156">
        <f>D20</f>
        <v>4.7500000000000001E-2</v>
      </c>
      <c r="C43" s="369">
        <f t="shared" ref="C43:E44" si="8">INDEX($C$21:$E$24,MATCH(C$41,$B$21:$B$24,0),MATCH($B43,$C$20:$E$20,0))</f>
        <v>124.73497308113973</v>
      </c>
      <c r="D43" s="369">
        <f t="shared" si="8"/>
        <v>-7.2535069188600492</v>
      </c>
      <c r="E43" s="369">
        <f t="shared" si="8"/>
        <v>-381.96683926260926</v>
      </c>
      <c r="F43" s="247">
        <f>D28</f>
        <v>385</v>
      </c>
      <c r="G43" s="394">
        <f t="shared" ref="G43:G44" si="9">INDEX($C$35:$E$38,MATCH(G$41,$B$35:$B$38,0),MATCH($F43,$C$28:$E$28,0))</f>
        <v>4.5647191180395605E-2</v>
      </c>
      <c r="H43" s="394">
        <f t="shared" si="1"/>
        <v>4.4251879040093978E-2</v>
      </c>
      <c r="I43" s="394">
        <f t="shared" si="1"/>
        <v>4.3458018469078243E-2</v>
      </c>
      <c r="J43" s="156">
        <f>L20</f>
        <v>4.7500000000000001E-2</v>
      </c>
      <c r="K43" s="369">
        <f t="shared" ref="K43:M44" si="10">INDEX($K$21:$M$24,MATCH(K$41,$J$21:$J$24,0),MATCH($J43,$K$20:$M$20,0))</f>
        <v>208.96185780984717</v>
      </c>
      <c r="L43" s="369">
        <f t="shared" si="10"/>
        <v>181.47082555178264</v>
      </c>
      <c r="M43" s="369">
        <f t="shared" si="10"/>
        <v>60.171154989919351</v>
      </c>
      <c r="N43" s="247">
        <f>L28</f>
        <v>265</v>
      </c>
      <c r="O43" s="394">
        <f t="shared" ref="O43:Q44" si="11">INDEX($K$35:$M$38,MATCH(O$41,$J$35:$J$38,0),MATCH($N43,$K$28:$M$28,0))</f>
        <v>5.0053418550087173E-2</v>
      </c>
      <c r="P43" s="394">
        <f t="shared" si="11"/>
        <v>4.8862884290546527E-2</v>
      </c>
      <c r="Q43" s="394">
        <f t="shared" si="11"/>
        <v>4.4805841124679606E-2</v>
      </c>
      <c r="R43" s="156">
        <f>T20</f>
        <v>4.7500000000000001E-2</v>
      </c>
      <c r="S43" s="369">
        <f t="shared" ref="S43:U44" si="12">INDEX($S$21:$U$24,MATCH(S$41,$R$21:$R$24,0),MATCH($R43,$S$20:$U$20,0))</f>
        <v>33.974807292139118</v>
      </c>
      <c r="T43" s="369">
        <f t="shared" si="12"/>
        <v>-50.510075466481162</v>
      </c>
      <c r="U43" s="369">
        <f t="shared" si="12"/>
        <v>-313.61347952586209</v>
      </c>
      <c r="V43" s="247">
        <f>T28</f>
        <v>385</v>
      </c>
      <c r="W43" s="394">
        <f t="shared" ref="W43:W44" si="13">INDEX($S$35:$U$38,MATCH(W$41,$R$35:$R$38,0),MATCH($V43,$S$28:$U$28,0))</f>
        <v>4.4219032345920811E-2</v>
      </c>
      <c r="X43" s="394">
        <f>INDEX($S$35:$U$38,MATCH(X$41,$R$35:$R$38,0),MATCH($V43,$S$28:$U$28,0))</f>
        <v>4.287360383814235E-2</v>
      </c>
      <c r="Y43" s="394">
        <f>INDEX($S$35:$U$38,MATCH(Y$41,$R$35:$R$38,0),MATCH($V43,$S$28:$U$28,0))</f>
        <v>4.1525645495399499E-2</v>
      </c>
      <c r="Z43" s="156">
        <f>AB20</f>
        <v>7.0000000000000007E-2</v>
      </c>
      <c r="AA43" s="369">
        <f t="shared" ref="AA43:AC44" si="14">INDEX($AA$21:$AC$24,MATCH(AA$41,$Z$21:$Z$24,0),MATCH($Z43,$AA$20:$AC$20,0))</f>
        <v>-766.68806948444706</v>
      </c>
      <c r="AB43" s="369">
        <f t="shared" si="14"/>
        <v>-770.78131948444707</v>
      </c>
      <c r="AC43" s="369">
        <f t="shared" si="14"/>
        <v>-1420.0286792554723</v>
      </c>
      <c r="AD43" s="247">
        <f>AB28</f>
        <v>340</v>
      </c>
      <c r="AE43" s="396">
        <f t="shared" ref="AE43:AG44" si="15">INDEX($AA$35:$AC$38,MATCH(AE$41,$Z$35:$Z$38,0),MATCH($AD43,$AA$28:$AC$28,0))</f>
        <v>3.1375018175690383E-2</v>
      </c>
      <c r="AF43" s="396">
        <f t="shared" si="15"/>
        <v>3.1297904359040639E-2</v>
      </c>
      <c r="AG43" s="396">
        <f t="shared" si="15"/>
        <v>2.6832614590797894E-2</v>
      </c>
      <c r="AH43" s="156">
        <f>AJ20</f>
        <v>7.0000000000000007E-2</v>
      </c>
      <c r="AI43" s="369">
        <f t="shared" ref="AI43:AK44" si="16">INDEX($AI$21:$AK$24,MATCH(AI$41,$AH$21:$AH$24,0),MATCH($AH43,$AI$20:$AK$20,0))</f>
        <v>-2099.8208762469212</v>
      </c>
      <c r="AJ43" s="369">
        <f t="shared" si="16"/>
        <v>-2109.6446762469213</v>
      </c>
      <c r="AK43" s="369">
        <f t="shared" si="16"/>
        <v>-3704.6123052570993</v>
      </c>
      <c r="AL43" s="247">
        <f>AJ28</f>
        <v>400</v>
      </c>
      <c r="AM43" s="394">
        <f t="shared" ref="AM43:AM44" si="17">INDEX($AI$35:$AK$38,MATCH(AM$41,$AH$35:$AH$38,0),MATCH($AL43,$AI$28:$AK$28,0))</f>
        <v>2.8153042208444262E-2</v>
      </c>
      <c r="AN43" s="396">
        <f>INDEX($AI$37:$AM$38,MATCH(AN$41,$AH$37:$AH$38,0),MATCH($AL43,$AI$28:$AM$28,0))</f>
        <v>2.8082556771361469E-2</v>
      </c>
      <c r="AO43" s="394">
        <f>INDEX($AI$37:$AM$38,MATCH(AO$41,$AH$37:$AH$38,0),MATCH($AL43,$AI$28:$AM$28,0))</f>
        <v>2.3692499597711643E-2</v>
      </c>
    </row>
    <row r="44" spans="2:41" x14ac:dyDescent="0.25">
      <c r="B44" s="156">
        <f>E20</f>
        <v>0.05</v>
      </c>
      <c r="C44" s="369">
        <f t="shared" si="8"/>
        <v>-91.163076041667239</v>
      </c>
      <c r="D44" s="369">
        <f t="shared" si="8"/>
        <v>-216.55213204166719</v>
      </c>
      <c r="E44" s="369">
        <f t="shared" si="8"/>
        <v>-748.58068038541705</v>
      </c>
      <c r="F44" s="247">
        <f>E28</f>
        <v>360</v>
      </c>
      <c r="G44" s="394">
        <f t="shared" si="9"/>
        <v>4.8081650395712522E-2</v>
      </c>
      <c r="H44" s="394">
        <f t="shared" si="1"/>
        <v>4.6611923370061717E-2</v>
      </c>
      <c r="I44" s="394">
        <f t="shared" si="1"/>
        <v>4.5866750922091172E-2</v>
      </c>
      <c r="J44" s="156">
        <f>M20</f>
        <v>0.05</v>
      </c>
      <c r="K44" s="369">
        <f t="shared" si="10"/>
        <v>151.17183064516129</v>
      </c>
      <c r="L44" s="369">
        <f t="shared" si="10"/>
        <v>125.05534999999993</v>
      </c>
      <c r="M44" s="369">
        <f t="shared" si="10"/>
        <v>-14.524828881048387</v>
      </c>
      <c r="N44" s="247">
        <f>M28</f>
        <v>240</v>
      </c>
      <c r="O44" s="394">
        <f t="shared" si="11"/>
        <v>5.3374615705232248E-2</v>
      </c>
      <c r="P44" s="394">
        <f t="shared" si="11"/>
        <v>5.2105085862364321E-2</v>
      </c>
      <c r="Q44" s="394">
        <f t="shared" si="11"/>
        <v>4.8060450856841762E-2</v>
      </c>
      <c r="R44" s="156">
        <f>U20</f>
        <v>0.05</v>
      </c>
      <c r="S44" s="369">
        <f t="shared" si="12"/>
        <v>-104.85976258081897</v>
      </c>
      <c r="T44" s="369">
        <f t="shared" si="12"/>
        <v>-185.1204012015088</v>
      </c>
      <c r="U44" s="369">
        <f t="shared" si="12"/>
        <v>-506.01214849137972</v>
      </c>
      <c r="V44" s="247">
        <f>U28</f>
        <v>360</v>
      </c>
      <c r="W44" s="394">
        <f t="shared" si="13"/>
        <v>4.6525647795205148E-2</v>
      </c>
      <c r="X44" s="394">
        <f>INDEX($S$35:$U$38,MATCH(X$41,$R$35:$R$38,0),MATCH($V44,$S$28:$U$28,0))</f>
        <v>4.5110037150520754E-2</v>
      </c>
      <c r="Y44" s="394">
        <f>INDEX($S$35:$U$38,MATCH(Y$41,$R$35:$R$38,0),MATCH($V44,$S$28:$U$28,0))</f>
        <v>4.3788915204367021E-2</v>
      </c>
      <c r="Z44" s="156">
        <f>AC20</f>
        <v>7.2500000000000009E-2</v>
      </c>
      <c r="AA44" s="369">
        <f t="shared" si="14"/>
        <v>-792.3647737590378</v>
      </c>
      <c r="AB44" s="369">
        <f t="shared" si="14"/>
        <v>-796.45802375903781</v>
      </c>
      <c r="AC44" s="369">
        <f t="shared" si="14"/>
        <v>-1453.6811407205923</v>
      </c>
      <c r="AD44" s="247">
        <f>AC28</f>
        <v>315</v>
      </c>
      <c r="AE44" s="396">
        <f t="shared" si="15"/>
        <v>3.2719187032404055E-2</v>
      </c>
      <c r="AF44" s="396">
        <f t="shared" si="15"/>
        <v>3.2635333085868266E-2</v>
      </c>
      <c r="AG44" s="396">
        <f t="shared" si="15"/>
        <v>2.8012668653208964E-2</v>
      </c>
      <c r="AH44" s="156">
        <f>AK20</f>
        <v>7.2500000000000009E-2</v>
      </c>
      <c r="AI44" s="369">
        <f t="shared" si="16"/>
        <v>-2154.1016530432521</v>
      </c>
      <c r="AJ44" s="369">
        <f t="shared" si="16"/>
        <v>-2163.9254530432522</v>
      </c>
      <c r="AK44" s="369">
        <f t="shared" si="16"/>
        <v>-3774.2053551976469</v>
      </c>
      <c r="AL44" s="247">
        <f>AK28</f>
        <v>375</v>
      </c>
      <c r="AM44" s="394">
        <f t="shared" si="17"/>
        <v>2.9258467963421492E-2</v>
      </c>
      <c r="AN44" s="396">
        <f>INDEX($AI$37:$AM$38,MATCH(AN$41,$AH$37:$AH$38,0),MATCH($AL44,$AI$28:$AM$28,0))</f>
        <v>2.9182346135873498E-2</v>
      </c>
      <c r="AO44" s="394">
        <f>INDEX($AI$37:$AM$38,MATCH(AO$41,$AH$37:$AH$38,0),MATCH($AL44,$AI$28:$AM$28,0))</f>
        <v>2.4632299355755987E-2</v>
      </c>
    </row>
    <row r="45" spans="2:41" x14ac:dyDescent="0.25">
      <c r="C45" s="194">
        <f>C42-D42</f>
        <v>139.32117333333323</v>
      </c>
      <c r="D45" s="194">
        <f>C42-E42</f>
        <v>339.23982123263846</v>
      </c>
      <c r="K45" s="194">
        <f>K42-L42</f>
        <v>29.01831182795712</v>
      </c>
      <c r="L45" s="194">
        <f>K42-M42</f>
        <v>130.00630647961458</v>
      </c>
      <c r="S45" s="194">
        <f>S42-T42</f>
        <v>89.178487356321995</v>
      </c>
      <c r="T45" s="194">
        <f>S42-U42</f>
        <v>288.07262115960248</v>
      </c>
    </row>
    <row r="46" spans="2:41" x14ac:dyDescent="0.25">
      <c r="C46" s="194">
        <f t="shared" ref="C46" si="18">C43-D43</f>
        <v>131.98847999999978</v>
      </c>
      <c r="D46" s="194">
        <f t="shared" ref="D46:D47" si="19">C43-E43</f>
        <v>506.701812343749</v>
      </c>
      <c r="K46" s="194">
        <f t="shared" ref="K46:K47" si="20">K43-L43</f>
        <v>27.491032258064536</v>
      </c>
      <c r="L46" s="194">
        <f t="shared" ref="L46:L47" si="21">K43-M43</f>
        <v>148.79070281992782</v>
      </c>
      <c r="M46" s="194"/>
      <c r="S46" s="194">
        <f t="shared" ref="S46:S47" si="22">S43-T43</f>
        <v>84.484882758620273</v>
      </c>
      <c r="T46" s="194">
        <f t="shared" ref="T46:T47" si="23">S43-U43</f>
        <v>347.58828681800122</v>
      </c>
    </row>
    <row r="47" spans="2:41" x14ac:dyDescent="0.25">
      <c r="C47" s="194">
        <f>C44-D44</f>
        <v>125.38905599999995</v>
      </c>
      <c r="D47" s="194">
        <f t="shared" si="19"/>
        <v>657.41760434374987</v>
      </c>
      <c r="K47" s="194">
        <f t="shared" si="20"/>
        <v>26.11648064516136</v>
      </c>
      <c r="L47" s="194">
        <f t="shared" si="21"/>
        <v>165.69665952620969</v>
      </c>
      <c r="M47" s="194"/>
      <c r="S47" s="194">
        <f t="shared" si="22"/>
        <v>80.260638620689832</v>
      </c>
      <c r="T47" s="194">
        <f t="shared" si="23"/>
        <v>401.15238591056072</v>
      </c>
    </row>
    <row r="70" spans="2:3" x14ac:dyDescent="0.25">
      <c r="B70" s="133" t="s">
        <v>240</v>
      </c>
      <c r="C70" s="133" t="s">
        <v>241</v>
      </c>
    </row>
  </sheetData>
  <mergeCells count="15">
    <mergeCell ref="AI11:AI12"/>
    <mergeCell ref="AH11:AH12"/>
    <mergeCell ref="AJ6:AK6"/>
    <mergeCell ref="R6:R7"/>
    <mergeCell ref="S6:S7"/>
    <mergeCell ref="Z6:Z7"/>
    <mergeCell ref="AA6:AA7"/>
    <mergeCell ref="AI6:AI7"/>
    <mergeCell ref="AH6:AH7"/>
    <mergeCell ref="C6:C7"/>
    <mergeCell ref="B6:B7"/>
    <mergeCell ref="K6:K7"/>
    <mergeCell ref="J6:J7"/>
    <mergeCell ref="AA11:AA12"/>
    <mergeCell ref="Z11:Z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9E2D-44DE-4B25-9B0B-1406EABD9642}">
  <sheetPr codeName="Sheet29">
    <tabColor theme="4"/>
  </sheetPr>
  <dimension ref="B3:Y70"/>
  <sheetViews>
    <sheetView topLeftCell="A36" workbookViewId="0">
      <selection activeCell="R10" sqref="R10:U17"/>
    </sheetView>
  </sheetViews>
  <sheetFormatPr defaultColWidth="8.69921875" defaultRowHeight="13.8" x14ac:dyDescent="0.25"/>
  <cols>
    <col min="1" max="1" width="8.69921875" style="133"/>
    <col min="2" max="2" width="18.69921875" style="133" customWidth="1"/>
    <col min="3" max="3" width="9.5" style="133" bestFit="1" customWidth="1"/>
    <col min="4" max="5" width="11.5" style="133" bestFit="1" customWidth="1"/>
    <col min="6" max="6" width="8.69921875" style="133"/>
    <col min="7" max="8" width="5.8984375" style="133" bestFit="1" customWidth="1"/>
    <col min="9" max="9" width="5.8984375" style="133" customWidth="1"/>
    <col min="10" max="10" width="18.69921875" style="133" customWidth="1"/>
    <col min="11" max="11" width="9.8984375" style="133" bestFit="1" customWidth="1"/>
    <col min="12" max="12" width="11.5" style="133" bestFit="1" customWidth="1"/>
    <col min="13" max="13" width="10.3984375" style="133" bestFit="1" customWidth="1"/>
    <col min="14" max="14" width="8.69921875" style="133"/>
    <col min="15" max="16" width="5.8984375" style="133" bestFit="1" customWidth="1"/>
    <col min="17" max="17" width="5.8984375" style="133" customWidth="1"/>
    <col min="18" max="18" width="18.69921875" style="133" customWidth="1"/>
    <col min="19" max="19" width="9.8984375" style="133" bestFit="1" customWidth="1"/>
    <col min="20" max="21" width="11.5" style="133" bestFit="1" customWidth="1"/>
    <col min="22" max="22" width="4.8984375" style="133" bestFit="1" customWidth="1"/>
    <col min="23" max="24" width="5.8984375" style="133" bestFit="1" customWidth="1"/>
    <col min="25" max="16384" width="8.69921875" style="133"/>
  </cols>
  <sheetData>
    <row r="3" spans="2:21" x14ac:dyDescent="0.25">
      <c r="B3" s="153" t="s">
        <v>125</v>
      </c>
      <c r="J3" s="153" t="s">
        <v>126</v>
      </c>
      <c r="R3" s="153" t="s">
        <v>229</v>
      </c>
    </row>
    <row r="5" spans="2:21" ht="14.4" thickBot="1" x14ac:dyDescent="0.3"/>
    <row r="6" spans="2:21" x14ac:dyDescent="0.25">
      <c r="B6" s="609" t="s">
        <v>230</v>
      </c>
      <c r="C6" s="608" t="s">
        <v>139</v>
      </c>
      <c r="D6" s="510" t="s">
        <v>208</v>
      </c>
      <c r="E6" s="510"/>
      <c r="J6" s="609" t="s">
        <v>230</v>
      </c>
      <c r="K6" s="608" t="s">
        <v>139</v>
      </c>
      <c r="L6" s="510" t="s">
        <v>208</v>
      </c>
      <c r="M6" s="510"/>
      <c r="R6" s="609" t="s">
        <v>230</v>
      </c>
      <c r="S6" s="608" t="s">
        <v>139</v>
      </c>
      <c r="T6" s="510" t="s">
        <v>208</v>
      </c>
      <c r="U6" s="510"/>
    </row>
    <row r="7" spans="2:21" x14ac:dyDescent="0.25">
      <c r="B7" s="610"/>
      <c r="C7" s="606"/>
      <c r="D7" s="408" t="s">
        <v>214</v>
      </c>
      <c r="E7" s="408" t="s">
        <v>215</v>
      </c>
      <c r="J7" s="610"/>
      <c r="K7" s="606"/>
      <c r="L7" s="408" t="s">
        <v>214</v>
      </c>
      <c r="M7" s="408" t="s">
        <v>215</v>
      </c>
      <c r="R7" s="610"/>
      <c r="S7" s="606"/>
      <c r="T7" s="408" t="s">
        <v>214</v>
      </c>
      <c r="U7" s="408" t="s">
        <v>215</v>
      </c>
    </row>
    <row r="8" spans="2:21" ht="13.95" hidden="1" customHeight="1" x14ac:dyDescent="0.25">
      <c r="B8" s="218" t="s">
        <v>230</v>
      </c>
      <c r="C8" s="219"/>
      <c r="D8" s="219"/>
      <c r="E8" s="219"/>
      <c r="J8" s="218" t="s">
        <v>230</v>
      </c>
      <c r="K8" s="219"/>
      <c r="L8" s="219"/>
      <c r="M8" s="219"/>
      <c r="R8" s="218" t="s">
        <v>230</v>
      </c>
      <c r="S8" s="219"/>
      <c r="T8" s="219"/>
      <c r="U8" s="219"/>
    </row>
    <row r="9" spans="2:21" x14ac:dyDescent="0.25">
      <c r="B9" s="188" t="s">
        <v>231</v>
      </c>
      <c r="C9" s="365">
        <v>0</v>
      </c>
      <c r="D9" s="365">
        <v>0</v>
      </c>
      <c r="E9" s="365">
        <v>0</v>
      </c>
      <c r="J9" s="188" t="s">
        <v>231</v>
      </c>
      <c r="K9" s="365">
        <v>0</v>
      </c>
      <c r="L9" s="365">
        <v>0</v>
      </c>
      <c r="M9" s="365">
        <v>0</v>
      </c>
      <c r="R9" s="188" t="s">
        <v>231</v>
      </c>
      <c r="S9" s="365">
        <v>0</v>
      </c>
      <c r="T9" s="365">
        <v>0</v>
      </c>
      <c r="U9" s="365">
        <v>0</v>
      </c>
    </row>
    <row r="10" spans="2:21" ht="14.4" thickBot="1" x14ac:dyDescent="0.3">
      <c r="B10" s="188" t="s">
        <v>102</v>
      </c>
      <c r="C10" s="368">
        <v>0</v>
      </c>
      <c r="D10" s="368">
        <v>0.8</v>
      </c>
      <c r="E10" s="368">
        <v>0.8</v>
      </c>
      <c r="J10" s="188" t="s">
        <v>102</v>
      </c>
      <c r="K10" s="368">
        <v>0</v>
      </c>
      <c r="L10" s="368">
        <v>0.8</v>
      </c>
      <c r="M10" s="368">
        <v>0.8</v>
      </c>
      <c r="R10" s="188" t="s">
        <v>102</v>
      </c>
      <c r="S10" s="368">
        <v>0</v>
      </c>
      <c r="T10" s="368">
        <v>0.8</v>
      </c>
      <c r="U10" s="368">
        <v>0.8</v>
      </c>
    </row>
    <row r="11" spans="2:21" x14ac:dyDescent="0.25">
      <c r="B11" s="611" t="s">
        <v>104</v>
      </c>
      <c r="C11" s="608" t="s">
        <v>139</v>
      </c>
      <c r="D11" s="510" t="s">
        <v>208</v>
      </c>
      <c r="E11" s="510"/>
      <c r="J11" s="611" t="s">
        <v>104</v>
      </c>
      <c r="K11" s="608" t="s">
        <v>139</v>
      </c>
      <c r="L11" s="510" t="s">
        <v>208</v>
      </c>
      <c r="M11" s="510"/>
      <c r="R11" s="611" t="s">
        <v>104</v>
      </c>
      <c r="S11" s="608" t="s">
        <v>139</v>
      </c>
      <c r="T11" s="510" t="s">
        <v>208</v>
      </c>
      <c r="U11" s="510"/>
    </row>
    <row r="12" spans="2:21" x14ac:dyDescent="0.25">
      <c r="B12" s="612"/>
      <c r="C12" s="606"/>
      <c r="D12" s="408" t="s">
        <v>214</v>
      </c>
      <c r="E12" s="408" t="s">
        <v>215</v>
      </c>
      <c r="J12" s="612"/>
      <c r="K12" s="606"/>
      <c r="L12" s="408" t="s">
        <v>214</v>
      </c>
      <c r="M12" s="408" t="s">
        <v>215</v>
      </c>
      <c r="R12" s="612"/>
      <c r="S12" s="606"/>
      <c r="T12" s="408" t="s">
        <v>214</v>
      </c>
      <c r="U12" s="408" t="s">
        <v>215</v>
      </c>
    </row>
    <row r="13" spans="2:21" ht="13.95" hidden="1" customHeight="1" x14ac:dyDescent="0.25">
      <c r="B13" s="218" t="s">
        <v>104</v>
      </c>
      <c r="C13" s="367"/>
      <c r="D13" s="367"/>
      <c r="E13" s="367"/>
      <c r="J13" s="218" t="s">
        <v>104</v>
      </c>
      <c r="K13" s="367"/>
      <c r="L13" s="367"/>
      <c r="M13" s="367"/>
      <c r="R13" s="218" t="s">
        <v>104</v>
      </c>
      <c r="S13" s="367"/>
      <c r="T13" s="367"/>
      <c r="U13" s="367"/>
    </row>
    <row r="14" spans="2:21" x14ac:dyDescent="0.25">
      <c r="B14" s="188" t="s">
        <v>232</v>
      </c>
      <c r="C14" s="364">
        <v>28.07</v>
      </c>
      <c r="D14" s="364">
        <v>28.07</v>
      </c>
      <c r="E14" s="364">
        <v>28.07</v>
      </c>
      <c r="J14" s="188" t="s">
        <v>232</v>
      </c>
      <c r="K14" s="364">
        <v>28.07</v>
      </c>
      <c r="L14" s="364">
        <v>28.07</v>
      </c>
      <c r="M14" s="364">
        <v>28.07</v>
      </c>
      <c r="R14" s="188" t="s">
        <v>232</v>
      </c>
      <c r="S14" s="364">
        <v>28.07</v>
      </c>
      <c r="T14" s="364">
        <v>28.07</v>
      </c>
      <c r="U14" s="364">
        <v>28.07</v>
      </c>
    </row>
    <row r="15" spans="2:21" ht="14.4" thickBot="1" x14ac:dyDescent="0.3">
      <c r="B15" s="216" t="s">
        <v>233</v>
      </c>
      <c r="C15" s="397">
        <v>0</v>
      </c>
      <c r="D15" s="397">
        <v>1961597.6470588236</v>
      </c>
      <c r="E15" s="397">
        <v>21555283.235294119</v>
      </c>
      <c r="J15" s="216" t="s">
        <v>233</v>
      </c>
      <c r="K15" s="397">
        <v>0</v>
      </c>
      <c r="L15" s="397">
        <v>312072.3529411765</v>
      </c>
      <c r="M15" s="397">
        <v>2229088.2352941176</v>
      </c>
      <c r="R15" s="216" t="s">
        <v>233</v>
      </c>
      <c r="S15" s="397">
        <v>0</v>
      </c>
      <c r="T15" s="397">
        <v>1716397.9411764706</v>
      </c>
      <c r="U15" s="397">
        <v>12705802.94117647</v>
      </c>
    </row>
    <row r="16" spans="2:21" ht="13.95" hidden="1" customHeight="1" thickBot="1" x14ac:dyDescent="0.3">
      <c r="B16" s="218" t="s">
        <v>106</v>
      </c>
      <c r="C16" s="367"/>
      <c r="D16" s="367"/>
      <c r="E16" s="367"/>
      <c r="J16" s="218" t="s">
        <v>106</v>
      </c>
      <c r="K16" s="367"/>
      <c r="L16" s="367"/>
      <c r="M16" s="367"/>
      <c r="R16" s="218" t="s">
        <v>106</v>
      </c>
      <c r="S16" s="367"/>
      <c r="T16" s="367"/>
      <c r="U16" s="367"/>
    </row>
    <row r="17" spans="2:23" ht="14.4" thickBot="1" x14ac:dyDescent="0.3">
      <c r="B17" s="216" t="s">
        <v>234</v>
      </c>
      <c r="C17" s="368">
        <v>0.1</v>
      </c>
      <c r="D17" s="368">
        <v>0.1</v>
      </c>
      <c r="E17" s="368">
        <v>0.1</v>
      </c>
      <c r="J17" s="216" t="s">
        <v>234</v>
      </c>
      <c r="K17" s="246">
        <v>0.1</v>
      </c>
      <c r="L17" s="368">
        <v>0.1</v>
      </c>
      <c r="M17" s="368">
        <v>0.1</v>
      </c>
      <c r="R17" s="216" t="s">
        <v>234</v>
      </c>
      <c r="S17" s="246">
        <v>0.1</v>
      </c>
      <c r="T17" s="368">
        <v>0.1</v>
      </c>
      <c r="U17" s="368">
        <v>0.1</v>
      </c>
    </row>
    <row r="18" spans="2:23" x14ac:dyDescent="0.25">
      <c r="B18" s="153"/>
      <c r="C18" s="210"/>
      <c r="J18" s="153"/>
      <c r="K18" s="210"/>
      <c r="R18" s="153"/>
      <c r="S18" s="210"/>
    </row>
    <row r="19" spans="2:23" ht="14.4" thickBot="1" x14ac:dyDescent="0.3">
      <c r="B19" s="217" t="s">
        <v>235</v>
      </c>
      <c r="C19" s="217"/>
      <c r="D19" s="217"/>
      <c r="E19" s="246"/>
      <c r="J19" s="217" t="s">
        <v>235</v>
      </c>
      <c r="K19" s="217"/>
      <c r="L19" s="217"/>
      <c r="M19" s="246"/>
      <c r="R19" s="217" t="s">
        <v>235</v>
      </c>
      <c r="S19" s="217"/>
      <c r="T19" s="217"/>
      <c r="U19" s="246"/>
    </row>
    <row r="20" spans="2:23" x14ac:dyDescent="0.25">
      <c r="B20" s="153" t="s">
        <v>236</v>
      </c>
      <c r="C20" s="156">
        <v>4.4999999999999998E-2</v>
      </c>
      <c r="D20" s="156">
        <v>4.7500000000000001E-2</v>
      </c>
      <c r="E20" s="156">
        <v>0.05</v>
      </c>
      <c r="G20" s="156"/>
      <c r="J20" s="153" t="s">
        <v>236</v>
      </c>
      <c r="K20" s="156">
        <v>4.4999999999999998E-2</v>
      </c>
      <c r="L20" s="156">
        <v>4.7500000000000001E-2</v>
      </c>
      <c r="M20" s="156">
        <v>0.05</v>
      </c>
      <c r="P20" s="156"/>
      <c r="R20" s="153" t="s">
        <v>236</v>
      </c>
      <c r="S20" s="156">
        <v>4.4999999999999998E-2</v>
      </c>
      <c r="T20" s="156">
        <v>4.7500000000000001E-2</v>
      </c>
      <c r="U20" s="156">
        <v>0.05</v>
      </c>
      <c r="W20" s="156"/>
    </row>
    <row r="21" spans="2:23" x14ac:dyDescent="0.25">
      <c r="B21" s="153" t="s">
        <v>139</v>
      </c>
      <c r="C21" s="369">
        <v>364.62169432870377</v>
      </c>
      <c r="D21" s="369">
        <v>124.73497308113973</v>
      </c>
      <c r="E21" s="369">
        <v>-91.163076041667239</v>
      </c>
      <c r="G21" s="156"/>
      <c r="J21" s="153" t="s">
        <v>139</v>
      </c>
      <c r="K21" s="369">
        <v>273.17299910394269</v>
      </c>
      <c r="L21" s="369">
        <v>208.96185780984717</v>
      </c>
      <c r="M21" s="369">
        <v>151.17183064516129</v>
      </c>
      <c r="P21" s="156"/>
      <c r="R21" s="153" t="s">
        <v>139</v>
      </c>
      <c r="S21" s="369">
        <v>188.23544048431538</v>
      </c>
      <c r="T21" s="369">
        <v>33.974807292139118</v>
      </c>
      <c r="U21" s="369">
        <v>-104.85976258081897</v>
      </c>
      <c r="W21" s="156"/>
    </row>
    <row r="22" spans="2:23" x14ac:dyDescent="0.25">
      <c r="B22" s="153" t="s">
        <v>208</v>
      </c>
      <c r="C22" s="156"/>
      <c r="D22" s="156"/>
      <c r="E22" s="156"/>
      <c r="G22" s="156"/>
      <c r="J22" s="153" t="s">
        <v>208</v>
      </c>
      <c r="K22" s="156"/>
      <c r="L22" s="156"/>
      <c r="M22" s="156"/>
      <c r="P22" s="156"/>
      <c r="R22" s="153" t="s">
        <v>208</v>
      </c>
      <c r="S22" s="156"/>
      <c r="T22" s="156"/>
      <c r="U22" s="156"/>
      <c r="W22" s="156"/>
    </row>
    <row r="23" spans="2:23" x14ac:dyDescent="0.25">
      <c r="B23" s="108" t="s">
        <v>214</v>
      </c>
      <c r="C23" s="369">
        <v>344.94441793164469</v>
      </c>
      <c r="D23" s="369">
        <v>105.05769668408064</v>
      </c>
      <c r="E23" s="369">
        <v>-110.84035243872631</v>
      </c>
      <c r="G23" s="369"/>
      <c r="J23" s="108" t="s">
        <v>214</v>
      </c>
      <c r="K23" s="369">
        <v>267.87138687819555</v>
      </c>
      <c r="L23" s="369">
        <v>203.66024558410001</v>
      </c>
      <c r="M23" s="369">
        <v>145.87021841941413</v>
      </c>
      <c r="P23" s="369"/>
      <c r="R23" s="108" t="s">
        <v>214</v>
      </c>
      <c r="S23" s="369">
        <v>175.76751104307544</v>
      </c>
      <c r="T23" s="369">
        <v>21.506877850899205</v>
      </c>
      <c r="U23" s="369">
        <v>-117.32769202205888</v>
      </c>
      <c r="W23" s="369"/>
    </row>
    <row r="24" spans="2:23" x14ac:dyDescent="0.25">
      <c r="B24" s="393" t="s">
        <v>215</v>
      </c>
      <c r="C24" s="370">
        <v>575.78027369757717</v>
      </c>
      <c r="D24" s="370">
        <v>128.08288578334648</v>
      </c>
      <c r="E24" s="370">
        <v>-274.84476333946048</v>
      </c>
      <c r="G24" s="194"/>
      <c r="J24" s="393" t="s">
        <v>215</v>
      </c>
      <c r="K24" s="370">
        <v>398.30733256410781</v>
      </c>
      <c r="L24" s="370">
        <v>297.29862665956131</v>
      </c>
      <c r="M24" s="370">
        <v>206.39079134546967</v>
      </c>
      <c r="P24" s="194"/>
      <c r="R24" s="393" t="s">
        <v>215</v>
      </c>
      <c r="S24" s="370">
        <v>273.05536496189791</v>
      </c>
      <c r="T24" s="370">
        <v>33.14627199960659</v>
      </c>
      <c r="U24" s="370">
        <v>-182.77191166645494</v>
      </c>
      <c r="W24" s="194"/>
    </row>
    <row r="25" spans="2:23" ht="14.4" thickBot="1" x14ac:dyDescent="0.3">
      <c r="B25" s="251" t="s">
        <v>237</v>
      </c>
      <c r="C25" s="371">
        <v>0.66919724966146765</v>
      </c>
      <c r="D25" s="371">
        <v>0.21916708462117698</v>
      </c>
      <c r="E25" s="371">
        <v>-1.4796453393758153</v>
      </c>
      <c r="G25" s="388"/>
      <c r="J25" s="251" t="s">
        <v>237</v>
      </c>
      <c r="K25" s="371">
        <v>0.4869349698227497</v>
      </c>
      <c r="L25" s="371">
        <v>0.45977741412864009</v>
      </c>
      <c r="M25" s="371">
        <v>0.41489327692677769</v>
      </c>
      <c r="P25" s="388"/>
      <c r="R25" s="251" t="s">
        <v>237</v>
      </c>
      <c r="S25" s="371">
        <v>0.55350305264879174</v>
      </c>
      <c r="T25" s="371">
        <v>0.54119404171074237</v>
      </c>
      <c r="U25" s="371">
        <v>-0.55779005379302804</v>
      </c>
      <c r="W25" s="388"/>
    </row>
    <row r="26" spans="2:23" x14ac:dyDescent="0.25">
      <c r="B26" s="153"/>
      <c r="C26" s="388"/>
      <c r="D26" s="388"/>
      <c r="E26" s="388"/>
      <c r="G26" s="388"/>
      <c r="J26" s="153"/>
      <c r="K26" s="388"/>
      <c r="L26" s="388"/>
      <c r="M26" s="388"/>
      <c r="P26" s="388"/>
      <c r="R26" s="153"/>
      <c r="S26" s="388"/>
      <c r="T26" s="388"/>
      <c r="U26" s="388"/>
      <c r="W26" s="388"/>
    </row>
    <row r="27" spans="2:23" ht="14.4" thickBot="1" x14ac:dyDescent="0.3">
      <c r="B27" s="251" t="s">
        <v>218</v>
      </c>
      <c r="C27" s="246"/>
      <c r="D27" s="246"/>
      <c r="E27" s="246"/>
      <c r="J27" s="251" t="s">
        <v>218</v>
      </c>
      <c r="K27" s="246"/>
      <c r="L27" s="246"/>
      <c r="M27" s="246"/>
      <c r="R27" s="251" t="s">
        <v>218</v>
      </c>
      <c r="S27" s="246"/>
      <c r="T27" s="246"/>
      <c r="U27" s="246"/>
    </row>
    <row r="28" spans="2:23" x14ac:dyDescent="0.25">
      <c r="B28" s="153" t="s">
        <v>238</v>
      </c>
      <c r="C28" s="392">
        <v>410</v>
      </c>
      <c r="D28" s="392">
        <v>385</v>
      </c>
      <c r="E28" s="392">
        <v>360</v>
      </c>
      <c r="G28" s="392"/>
      <c r="J28" s="153" t="s">
        <v>238</v>
      </c>
      <c r="K28" s="392">
        <v>290</v>
      </c>
      <c r="L28" s="392">
        <v>265</v>
      </c>
      <c r="M28" s="392">
        <v>240</v>
      </c>
      <c r="P28" s="392"/>
      <c r="R28" s="153" t="s">
        <v>238</v>
      </c>
      <c r="S28" s="392">
        <v>410</v>
      </c>
      <c r="T28" s="392">
        <v>385</v>
      </c>
      <c r="U28" s="392">
        <v>360</v>
      </c>
      <c r="W28" s="392"/>
    </row>
    <row r="29" spans="2:23" x14ac:dyDescent="0.25">
      <c r="B29" s="153" t="s">
        <v>239</v>
      </c>
      <c r="C29" s="392"/>
      <c r="D29" s="392"/>
      <c r="E29" s="392"/>
      <c r="G29" s="392"/>
      <c r="J29" s="153" t="s">
        <v>239</v>
      </c>
      <c r="K29" s="392"/>
      <c r="L29" s="392"/>
      <c r="M29" s="392"/>
      <c r="P29" s="392"/>
      <c r="R29" s="153" t="str">
        <f>IF(OR(S3='Lookup Lists'!$B$5,S3='Lookup Lists'!$B$6),"Total Development Cost","Total Development Cost Per Unit")</f>
        <v>Total Development Cost Per Unit</v>
      </c>
      <c r="S29" s="392"/>
      <c r="T29" s="392"/>
      <c r="U29" s="392"/>
      <c r="W29" s="392"/>
    </row>
    <row r="30" spans="2:23" x14ac:dyDescent="0.25">
      <c r="B30" s="215" t="s">
        <v>139</v>
      </c>
      <c r="C30" s="392">
        <v>563900</v>
      </c>
      <c r="D30" s="392">
        <v>536700</v>
      </c>
      <c r="E30" s="392">
        <v>509600</v>
      </c>
      <c r="G30" s="392"/>
      <c r="J30" s="215" t="s">
        <v>139</v>
      </c>
      <c r="K30" s="392">
        <v>531100</v>
      </c>
      <c r="L30" s="392">
        <v>500000</v>
      </c>
      <c r="M30" s="392">
        <v>468900</v>
      </c>
      <c r="P30" s="392"/>
      <c r="R30" s="215" t="s">
        <v>139</v>
      </c>
      <c r="S30" s="392">
        <v>592600</v>
      </c>
      <c r="T30" s="392">
        <v>564600</v>
      </c>
      <c r="U30" s="392">
        <v>536600</v>
      </c>
      <c r="W30" s="392"/>
    </row>
    <row r="31" spans="2:23" x14ac:dyDescent="0.25">
      <c r="B31" s="215" t="s">
        <v>208</v>
      </c>
      <c r="C31" s="392"/>
      <c r="D31" s="392"/>
      <c r="E31" s="392"/>
      <c r="G31" s="392"/>
      <c r="J31" s="215" t="s">
        <v>208</v>
      </c>
      <c r="K31" s="392"/>
      <c r="L31" s="392"/>
      <c r="M31" s="392"/>
      <c r="P31" s="392"/>
      <c r="R31" s="215" t="s">
        <v>208</v>
      </c>
      <c r="S31" s="392"/>
      <c r="T31" s="392"/>
      <c r="U31" s="392"/>
      <c r="W31" s="392"/>
    </row>
    <row r="32" spans="2:23" x14ac:dyDescent="0.25">
      <c r="B32" s="188" t="s">
        <v>214</v>
      </c>
      <c r="C32" s="247">
        <v>566300</v>
      </c>
      <c r="D32" s="247">
        <v>539100</v>
      </c>
      <c r="E32" s="247">
        <v>511900</v>
      </c>
      <c r="G32" s="247"/>
      <c r="J32" s="188" t="s">
        <v>214</v>
      </c>
      <c r="K32" s="247">
        <v>533600</v>
      </c>
      <c r="L32" s="247">
        <v>502400</v>
      </c>
      <c r="M32" s="247">
        <v>471300</v>
      </c>
      <c r="P32" s="247"/>
      <c r="R32" s="188" t="s">
        <v>214</v>
      </c>
      <c r="S32" s="247">
        <v>595000</v>
      </c>
      <c r="T32" s="247">
        <v>567000</v>
      </c>
      <c r="U32" s="247">
        <v>539000</v>
      </c>
      <c r="W32" s="247"/>
    </row>
    <row r="33" spans="2:25" x14ac:dyDescent="0.25">
      <c r="B33" s="188" t="s">
        <v>215</v>
      </c>
      <c r="C33" s="247">
        <v>545300</v>
      </c>
      <c r="D33" s="247">
        <v>518700</v>
      </c>
      <c r="E33" s="247">
        <v>492200</v>
      </c>
      <c r="G33" s="247"/>
      <c r="J33" s="188" t="s">
        <v>215</v>
      </c>
      <c r="K33" s="247">
        <v>515200</v>
      </c>
      <c r="L33" s="247">
        <v>484100</v>
      </c>
      <c r="M33" s="247">
        <v>453000</v>
      </c>
      <c r="P33" s="247"/>
      <c r="R33" s="188" t="s">
        <v>215</v>
      </c>
      <c r="S33" s="247">
        <v>567700</v>
      </c>
      <c r="T33" s="247">
        <v>540500</v>
      </c>
      <c r="U33" s="247">
        <v>513300</v>
      </c>
      <c r="W33" s="247"/>
    </row>
    <row r="34" spans="2:25" x14ac:dyDescent="0.25">
      <c r="B34" s="153" t="s">
        <v>218</v>
      </c>
      <c r="C34" s="247"/>
      <c r="D34" s="247"/>
      <c r="E34" s="247"/>
      <c r="G34" s="247"/>
      <c r="J34" s="153" t="s">
        <v>218</v>
      </c>
      <c r="K34" s="247"/>
      <c r="L34" s="247"/>
      <c r="M34" s="247"/>
      <c r="P34" s="247"/>
      <c r="R34" s="153" t="s">
        <v>218</v>
      </c>
      <c r="S34" s="247"/>
      <c r="T34" s="247"/>
      <c r="U34" s="247"/>
      <c r="W34" s="247"/>
    </row>
    <row r="35" spans="2:25" x14ac:dyDescent="0.25">
      <c r="B35" s="215" t="s">
        <v>139</v>
      </c>
      <c r="C35" s="390">
        <v>4.344737361569969E-2</v>
      </c>
      <c r="D35" s="390">
        <v>4.5647191180395605E-2</v>
      </c>
      <c r="E35" s="390">
        <v>4.8081650395712522E-2</v>
      </c>
      <c r="G35" s="247"/>
      <c r="J35" s="215" t="s">
        <v>139</v>
      </c>
      <c r="K35" s="515">
        <v>4.7121327749956622E-2</v>
      </c>
      <c r="L35" s="515">
        <v>5.0053418550087173E-2</v>
      </c>
      <c r="M35" s="515">
        <v>5.3374615705232248E-2</v>
      </c>
      <c r="P35" s="247"/>
      <c r="R35" s="215" t="s">
        <v>139</v>
      </c>
      <c r="S35" s="515">
        <v>4.2130325077719091E-2</v>
      </c>
      <c r="T35" s="515">
        <v>4.4219032345920811E-2</v>
      </c>
      <c r="U35" s="515">
        <v>4.6525647795205148E-2</v>
      </c>
      <c r="W35" s="247"/>
    </row>
    <row r="36" spans="2:25" x14ac:dyDescent="0.25">
      <c r="B36" s="215" t="s">
        <v>208</v>
      </c>
      <c r="C36" s="247"/>
      <c r="D36" s="247"/>
      <c r="E36" s="247"/>
      <c r="G36" s="247"/>
      <c r="J36" s="215" t="s">
        <v>208</v>
      </c>
      <c r="K36" s="247"/>
      <c r="L36" s="247"/>
      <c r="M36" s="247"/>
      <c r="P36" s="247"/>
      <c r="R36" s="215" t="s">
        <v>208</v>
      </c>
      <c r="S36" s="247"/>
      <c r="T36" s="247"/>
      <c r="U36" s="247"/>
      <c r="W36" s="247"/>
    </row>
    <row r="37" spans="2:25" x14ac:dyDescent="0.25">
      <c r="B37" s="188" t="s">
        <v>214</v>
      </c>
      <c r="C37" s="390">
        <v>4.3267024829357306E-2</v>
      </c>
      <c r="D37" s="390">
        <v>4.5448159129246213E-2</v>
      </c>
      <c r="E37" s="390">
        <v>4.7860873992333075E-2</v>
      </c>
      <c r="G37" s="390"/>
      <c r="J37" s="188" t="s">
        <v>214</v>
      </c>
      <c r="K37" s="390">
        <v>4.6907878434987518E-2</v>
      </c>
      <c r="L37" s="390">
        <v>4.9812647192504979E-2</v>
      </c>
      <c r="M37" s="390">
        <v>5.3100919824930169E-2</v>
      </c>
      <c r="P37" s="390"/>
      <c r="R37" s="188" t="s">
        <v>214</v>
      </c>
      <c r="S37" s="390">
        <v>4.1963201955446512E-2</v>
      </c>
      <c r="T37" s="390">
        <v>4.403496362773681E-2</v>
      </c>
      <c r="U37" s="390">
        <v>4.632191915596736E-2</v>
      </c>
      <c r="W37" s="390"/>
    </row>
    <row r="38" spans="2:25" x14ac:dyDescent="0.25">
      <c r="B38" s="188" t="s">
        <v>215</v>
      </c>
      <c r="C38" s="391">
        <v>4.4245289303495694E-2</v>
      </c>
      <c r="D38" s="391">
        <v>4.6507825454758386E-2</v>
      </c>
      <c r="E38" s="391">
        <v>4.9014226976984647E-2</v>
      </c>
      <c r="G38" s="390"/>
      <c r="J38" s="188" t="s">
        <v>215</v>
      </c>
      <c r="K38" s="391">
        <v>4.8569850470919225E-2</v>
      </c>
      <c r="L38" s="391">
        <v>5.1687479985081011E-2</v>
      </c>
      <c r="M38" s="391">
        <v>5.5232794377252169E-2</v>
      </c>
      <c r="P38" s="390"/>
      <c r="R38" s="188" t="s">
        <v>215</v>
      </c>
      <c r="S38" s="391">
        <v>4.3158946169557351E-2</v>
      </c>
      <c r="T38" s="391">
        <v>4.5328711593580227E-2</v>
      </c>
      <c r="U38" s="391">
        <v>4.7728190415609863E-2</v>
      </c>
      <c r="W38" s="390"/>
    </row>
    <row r="39" spans="2:25" ht="14.4" thickBot="1" x14ac:dyDescent="0.3">
      <c r="B39" s="251" t="s">
        <v>237</v>
      </c>
      <c r="C39" s="389">
        <v>2.2609931651103986E-2</v>
      </c>
      <c r="D39" s="389">
        <v>2.3315935030474549E-2</v>
      </c>
      <c r="E39" s="389">
        <v>2.4098034332518243E-2</v>
      </c>
      <c r="G39" s="395"/>
      <c r="J39" s="251" t="s">
        <v>237</v>
      </c>
      <c r="K39" s="389">
        <v>3.5430552209585318E-2</v>
      </c>
      <c r="L39" s="389">
        <v>3.7637686375722824E-2</v>
      </c>
      <c r="M39" s="389">
        <v>4.0147601196940337E-2</v>
      </c>
      <c r="P39" s="395"/>
      <c r="R39" s="251" t="s">
        <v>237</v>
      </c>
      <c r="S39" s="389">
        <v>2.8495066114840172E-2</v>
      </c>
      <c r="T39" s="389">
        <v>2.9380016679030684E-2</v>
      </c>
      <c r="U39" s="389">
        <v>3.0358657095090186E-2</v>
      </c>
      <c r="W39" s="395"/>
    </row>
    <row r="41" spans="2:25" x14ac:dyDescent="0.25">
      <c r="C41" s="133" t="s">
        <v>139</v>
      </c>
      <c r="D41" s="124" t="s">
        <v>214</v>
      </c>
      <c r="E41" s="133" t="s">
        <v>215</v>
      </c>
      <c r="G41" s="133" t="s">
        <v>139</v>
      </c>
      <c r="H41" s="124" t="s">
        <v>214</v>
      </c>
      <c r="I41" s="133" t="s">
        <v>215</v>
      </c>
      <c r="K41" s="133" t="s">
        <v>139</v>
      </c>
      <c r="L41" s="124" t="s">
        <v>214</v>
      </c>
      <c r="M41" s="133" t="s">
        <v>215</v>
      </c>
      <c r="O41" s="133" t="s">
        <v>139</v>
      </c>
      <c r="P41" s="124" t="s">
        <v>214</v>
      </c>
      <c r="Q41" s="133" t="s">
        <v>215</v>
      </c>
      <c r="S41" s="133" t="s">
        <v>139</v>
      </c>
      <c r="T41" s="124" t="s">
        <v>214</v>
      </c>
      <c r="U41" s="133" t="s">
        <v>215</v>
      </c>
      <c r="W41" s="133" t="s">
        <v>139</v>
      </c>
      <c r="X41" s="124" t="s">
        <v>214</v>
      </c>
      <c r="Y41" s="133" t="s">
        <v>215</v>
      </c>
    </row>
    <row r="42" spans="2:25" x14ac:dyDescent="0.25">
      <c r="B42" s="156">
        <f>C20</f>
        <v>4.4999999999999998E-2</v>
      </c>
      <c r="C42" s="369">
        <f>INDEX($C$21:$E$24,MATCH(C$41,$B$21:$B$24,0),MATCH($B42,$C$20:$E$20,0))</f>
        <v>364.62169432870377</v>
      </c>
      <c r="D42" s="369">
        <f t="shared" ref="D42:E42" si="0">INDEX($C$21:$E$24,MATCH(D$41,$B$21:$B$24,0),MATCH($B42,$C$20:$E$20,0))</f>
        <v>344.94441793164469</v>
      </c>
      <c r="E42" s="369">
        <f t="shared" si="0"/>
        <v>575.78027369757717</v>
      </c>
      <c r="F42" s="247">
        <f>C28</f>
        <v>410</v>
      </c>
      <c r="G42" s="394">
        <f>INDEX($C$35:$E$38,MATCH(G$41,$B$35:$B$38,0),MATCH($F42,$C$28:$E$28,0))</f>
        <v>4.344737361569969E-2</v>
      </c>
      <c r="H42" s="394">
        <f t="shared" ref="H42:I44" si="1">INDEX($C$37:$G$38,MATCH(H$41,$B$37:$B$38,0),MATCH($F42,$C$28:$G$28,0))</f>
        <v>4.3267024829357306E-2</v>
      </c>
      <c r="I42" s="394">
        <f t="shared" si="1"/>
        <v>4.4245289303495694E-2</v>
      </c>
      <c r="J42" s="156">
        <f>K20</f>
        <v>4.4999999999999998E-2</v>
      </c>
      <c r="K42" s="369">
        <f>INDEX($K$21:$M$24,MATCH(K$41,$J$21:$J$24,0),MATCH($J42,$K$20:$M$20,0))</f>
        <v>273.17299910394269</v>
      </c>
      <c r="L42" s="369">
        <f t="shared" ref="L42:M42" si="2">INDEX($K$21:$M$24,MATCH(L$41,$J$21:$J$24,0),MATCH($J42,$K$20:$M$20,0))</f>
        <v>267.87138687819555</v>
      </c>
      <c r="M42" s="369">
        <f t="shared" si="2"/>
        <v>398.30733256410781</v>
      </c>
      <c r="N42" s="247">
        <f>K28</f>
        <v>290</v>
      </c>
      <c r="O42" s="394">
        <f>INDEX($K$35:$M$38,MATCH(O$41,$J$35:$J$38,0),MATCH($N42,$K$28:$M$28,0))</f>
        <v>4.7121327749956622E-2</v>
      </c>
      <c r="P42" s="394">
        <f t="shared" ref="P42:Q42" si="3">INDEX($K$35:$M$38,MATCH(P$41,$J$35:$J$38,0),MATCH($N42,$K$28:$M$28,0))</f>
        <v>4.6907878434987518E-2</v>
      </c>
      <c r="Q42" s="394">
        <f t="shared" si="3"/>
        <v>4.8569850470919225E-2</v>
      </c>
      <c r="R42" s="156">
        <f>S20</f>
        <v>4.4999999999999998E-2</v>
      </c>
      <c r="S42" s="369">
        <f>INDEX($S$21:$U$24,MATCH(S$41,$R$21:$R$24,0),MATCH($R42,$S$20:$U$20,0))</f>
        <v>188.23544048431538</v>
      </c>
      <c r="T42" s="369">
        <f t="shared" ref="T42:U42" si="4">INDEX($S$21:$U$24,MATCH(T$41,$R$21:$R$24,0),MATCH($R42,$S$20:$U$20,0))</f>
        <v>175.76751104307544</v>
      </c>
      <c r="U42" s="369">
        <f t="shared" si="4"/>
        <v>273.05536496189791</v>
      </c>
      <c r="V42" s="247">
        <f>S28</f>
        <v>410</v>
      </c>
      <c r="W42" s="394">
        <f>INDEX($S$35:$U$38,MATCH(W$41,$R$35:$R$38,0),MATCH($V42,$S$28:$U$28,0))</f>
        <v>4.2130325077719091E-2</v>
      </c>
      <c r="X42" s="394">
        <f>INDEX($S$35:$U$38,MATCH(X$41,$R$35:$R$38,0),MATCH($V42,$S$28:$U$28,0))</f>
        <v>4.1963201955446512E-2</v>
      </c>
      <c r="Y42" s="394">
        <f>INDEX($S$35:$U$38,MATCH(Y$41,$R$35:$R$38,0),MATCH($V42,$S$28:$U$28,0))</f>
        <v>4.3158946169557351E-2</v>
      </c>
    </row>
    <row r="43" spans="2:25" x14ac:dyDescent="0.25">
      <c r="B43" s="156">
        <f>D20</f>
        <v>4.7500000000000001E-2</v>
      </c>
      <c r="C43" s="369">
        <f t="shared" ref="C43:E44" si="5">INDEX($C$21:$E$24,MATCH(C$41,$B$21:$B$24,0),MATCH($B43,$C$20:$E$20,0))</f>
        <v>124.73497308113973</v>
      </c>
      <c r="D43" s="369">
        <f t="shared" si="5"/>
        <v>105.05769668408064</v>
      </c>
      <c r="E43" s="369">
        <f t="shared" si="5"/>
        <v>128.08288578334648</v>
      </c>
      <c r="F43" s="247">
        <f>D28</f>
        <v>385</v>
      </c>
      <c r="G43" s="394">
        <f t="shared" ref="G43:G44" si="6">INDEX($C$35:$E$38,MATCH(G$41,$B$35:$B$38,0),MATCH($F43,$C$28:$E$28,0))</f>
        <v>4.5647191180395605E-2</v>
      </c>
      <c r="H43" s="394">
        <f t="shared" si="1"/>
        <v>4.5448159129246213E-2</v>
      </c>
      <c r="I43" s="394">
        <f t="shared" si="1"/>
        <v>4.6507825454758386E-2</v>
      </c>
      <c r="J43" s="156">
        <f>L20</f>
        <v>4.7500000000000001E-2</v>
      </c>
      <c r="K43" s="369">
        <f t="shared" ref="K43:M44" si="7">INDEX($K$21:$M$24,MATCH(K$41,$J$21:$J$24,0),MATCH($J43,$K$20:$M$20,0))</f>
        <v>208.96185780984717</v>
      </c>
      <c r="L43" s="369">
        <f t="shared" si="7"/>
        <v>203.66024558410001</v>
      </c>
      <c r="M43" s="369">
        <f t="shared" si="7"/>
        <v>297.29862665956131</v>
      </c>
      <c r="N43" s="247">
        <f>L28</f>
        <v>265</v>
      </c>
      <c r="O43" s="394">
        <f t="shared" ref="O43:Q44" si="8">INDEX($K$35:$M$38,MATCH(O$41,$J$35:$J$38,0),MATCH($N43,$K$28:$M$28,0))</f>
        <v>5.0053418550087173E-2</v>
      </c>
      <c r="P43" s="394">
        <f t="shared" si="8"/>
        <v>4.9812647192504979E-2</v>
      </c>
      <c r="Q43" s="394">
        <f t="shared" si="8"/>
        <v>5.1687479985081011E-2</v>
      </c>
      <c r="R43" s="156">
        <f>T20</f>
        <v>4.7500000000000001E-2</v>
      </c>
      <c r="S43" s="369">
        <f t="shared" ref="S43:U44" si="9">INDEX($S$21:$U$24,MATCH(S$41,$R$21:$R$24,0),MATCH($R43,$S$20:$U$20,0))</f>
        <v>33.974807292139118</v>
      </c>
      <c r="T43" s="369">
        <f t="shared" si="9"/>
        <v>21.506877850899205</v>
      </c>
      <c r="U43" s="369">
        <f t="shared" si="9"/>
        <v>33.14627199960659</v>
      </c>
      <c r="V43" s="247">
        <f>T28</f>
        <v>385</v>
      </c>
      <c r="W43" s="394">
        <f t="shared" ref="W43:W44" si="10">INDEX($S$35:$U$38,MATCH(W$41,$R$35:$R$38,0),MATCH($V43,$S$28:$U$28,0))</f>
        <v>4.4219032345920811E-2</v>
      </c>
      <c r="X43" s="394">
        <f>INDEX($S$35:$U$38,MATCH(X$41,$R$35:$R$38,0),MATCH($V43,$S$28:$U$28,0))</f>
        <v>4.403496362773681E-2</v>
      </c>
      <c r="Y43" s="394">
        <f>INDEX($S$35:$U$38,MATCH(Y$41,$R$35:$R$38,0),MATCH($V43,$S$28:$U$28,0))</f>
        <v>4.5328711593580227E-2</v>
      </c>
    </row>
    <row r="44" spans="2:25" x14ac:dyDescent="0.25">
      <c r="B44" s="156">
        <f>E20</f>
        <v>0.05</v>
      </c>
      <c r="C44" s="369">
        <f t="shared" si="5"/>
        <v>-91.163076041667239</v>
      </c>
      <c r="D44" s="369">
        <f t="shared" si="5"/>
        <v>-110.84035243872631</v>
      </c>
      <c r="E44" s="369">
        <f t="shared" si="5"/>
        <v>-274.84476333946048</v>
      </c>
      <c r="F44" s="247">
        <f>E28</f>
        <v>360</v>
      </c>
      <c r="G44" s="394">
        <f t="shared" si="6"/>
        <v>4.8081650395712522E-2</v>
      </c>
      <c r="H44" s="394">
        <f t="shared" si="1"/>
        <v>4.7860873992333075E-2</v>
      </c>
      <c r="I44" s="394">
        <f t="shared" si="1"/>
        <v>4.9014226976984647E-2</v>
      </c>
      <c r="J44" s="156">
        <f>M20</f>
        <v>0.05</v>
      </c>
      <c r="K44" s="369">
        <f t="shared" si="7"/>
        <v>151.17183064516129</v>
      </c>
      <c r="L44" s="369">
        <f t="shared" si="7"/>
        <v>145.87021841941413</v>
      </c>
      <c r="M44" s="369">
        <f t="shared" si="7"/>
        <v>206.39079134546967</v>
      </c>
      <c r="N44" s="247">
        <f>M28</f>
        <v>240</v>
      </c>
      <c r="O44" s="394">
        <f t="shared" si="8"/>
        <v>5.3374615705232248E-2</v>
      </c>
      <c r="P44" s="394">
        <f t="shared" si="8"/>
        <v>5.3100919824930169E-2</v>
      </c>
      <c r="Q44" s="394">
        <f t="shared" si="8"/>
        <v>5.5232794377252169E-2</v>
      </c>
      <c r="R44" s="156">
        <f>U20</f>
        <v>0.05</v>
      </c>
      <c r="S44" s="369">
        <f t="shared" si="9"/>
        <v>-104.85976258081897</v>
      </c>
      <c r="T44" s="369">
        <f t="shared" si="9"/>
        <v>-117.32769202205888</v>
      </c>
      <c r="U44" s="369">
        <f t="shared" si="9"/>
        <v>-182.77191166645494</v>
      </c>
      <c r="V44" s="247">
        <f>U28</f>
        <v>360</v>
      </c>
      <c r="W44" s="394">
        <f t="shared" si="10"/>
        <v>4.6525647795205148E-2</v>
      </c>
      <c r="X44" s="394">
        <f>INDEX($S$35:$U$38,MATCH(X$41,$R$35:$R$38,0),MATCH($V44,$S$28:$U$28,0))</f>
        <v>4.632191915596736E-2</v>
      </c>
      <c r="Y44" s="394">
        <f>INDEX($S$35:$U$38,MATCH(Y$41,$R$35:$R$38,0),MATCH($V44,$S$28:$U$28,0))</f>
        <v>4.7728190415609863E-2</v>
      </c>
    </row>
    <row r="45" spans="2:25" x14ac:dyDescent="0.25">
      <c r="C45" s="194">
        <f>C42-D42</f>
        <v>19.677276397059074</v>
      </c>
      <c r="D45" s="194">
        <f>C42-E42</f>
        <v>-211.1585793688734</v>
      </c>
      <c r="K45" s="194">
        <f>K42-L42</f>
        <v>5.3016122257471352</v>
      </c>
      <c r="L45" s="194">
        <f>K42-M42</f>
        <v>-125.13433346016512</v>
      </c>
      <c r="S45" s="194">
        <f>S42-T42</f>
        <v>12.467929441239932</v>
      </c>
      <c r="T45" s="194">
        <f>S42-U42</f>
        <v>-84.819924477582532</v>
      </c>
    </row>
    <row r="46" spans="2:25" x14ac:dyDescent="0.25">
      <c r="C46" s="194">
        <f t="shared" ref="C46" si="11">C43-D43</f>
        <v>19.677276397059089</v>
      </c>
      <c r="D46" s="194">
        <f t="shared" ref="D46:D47" si="12">C43-E43</f>
        <v>-3.3479127022067559</v>
      </c>
      <c r="K46" s="194">
        <f t="shared" ref="K46:K47" si="13">K43-L43</f>
        <v>5.3016122257471636</v>
      </c>
      <c r="L46" s="194">
        <f t="shared" ref="L46:L47" si="14">K43-M43</f>
        <v>-88.336768849714133</v>
      </c>
      <c r="M46" s="194"/>
      <c r="S46" s="194">
        <f t="shared" ref="S46:S47" si="15">S43-T43</f>
        <v>12.467929441239914</v>
      </c>
      <c r="T46" s="194">
        <f t="shared" ref="T46:T47" si="16">S43-U43</f>
        <v>0.82853529253252844</v>
      </c>
    </row>
    <row r="47" spans="2:25" x14ac:dyDescent="0.25">
      <c r="C47" s="194">
        <f>C44-D44</f>
        <v>19.677276397059074</v>
      </c>
      <c r="D47" s="194">
        <f t="shared" si="12"/>
        <v>183.68168729779325</v>
      </c>
      <c r="K47" s="194">
        <f t="shared" si="13"/>
        <v>5.3016122257471636</v>
      </c>
      <c r="L47" s="194">
        <f t="shared" si="14"/>
        <v>-55.218960700308372</v>
      </c>
      <c r="M47" s="194"/>
      <c r="S47" s="194">
        <f t="shared" si="15"/>
        <v>12.467929441239917</v>
      </c>
      <c r="T47" s="194">
        <f t="shared" si="16"/>
        <v>77.912149085635974</v>
      </c>
    </row>
    <row r="70" spans="2:3" x14ac:dyDescent="0.25">
      <c r="B70" s="133" t="s">
        <v>240</v>
      </c>
      <c r="C70" s="133" t="s">
        <v>241</v>
      </c>
    </row>
  </sheetData>
  <mergeCells count="12">
    <mergeCell ref="S11:S12"/>
    <mergeCell ref="B6:B7"/>
    <mergeCell ref="C6:C7"/>
    <mergeCell ref="J6:J7"/>
    <mergeCell ref="K6:K7"/>
    <mergeCell ref="R6:R7"/>
    <mergeCell ref="S6:S7"/>
    <mergeCell ref="B11:B12"/>
    <mergeCell ref="C11:C12"/>
    <mergeCell ref="J11:J12"/>
    <mergeCell ref="K11:K12"/>
    <mergeCell ref="R11:R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AE4C-8883-412B-AE66-9AA79C28370D}">
  <sheetPr codeName="Sheet8">
    <tabColor theme="4"/>
  </sheetPr>
  <dimension ref="B2:L73"/>
  <sheetViews>
    <sheetView workbookViewId="0">
      <selection activeCell="L32" sqref="L32"/>
    </sheetView>
  </sheetViews>
  <sheetFormatPr defaultColWidth="8.69921875" defaultRowHeight="13.8" x14ac:dyDescent="0.25"/>
  <cols>
    <col min="1" max="1" width="8.69921875" style="133"/>
    <col min="2" max="2" width="31.5" style="133" customWidth="1"/>
    <col min="3" max="5" width="12.09765625" style="133" customWidth="1"/>
    <col min="6" max="6" width="13.5" style="133" bestFit="1" customWidth="1"/>
    <col min="7" max="7" width="20.69921875" style="133" customWidth="1"/>
    <col min="8" max="8" width="8.59765625" style="133" bestFit="1" customWidth="1"/>
    <col min="9" max="10" width="7.59765625" style="133" bestFit="1" customWidth="1"/>
    <col min="11" max="11" width="9.59765625" style="133" customWidth="1"/>
    <col min="12" max="12" width="9.8984375" style="133" customWidth="1"/>
    <col min="13" max="16384" width="8.69921875" style="133"/>
  </cols>
  <sheetData>
    <row r="2" spans="2:10" x14ac:dyDescent="0.25">
      <c r="B2" s="202"/>
    </row>
    <row r="3" spans="2:10" x14ac:dyDescent="0.25">
      <c r="B3" s="189" t="s">
        <v>242</v>
      </c>
    </row>
    <row r="5" spans="2:10" x14ac:dyDescent="0.25">
      <c r="B5" s="153" t="s">
        <v>243</v>
      </c>
      <c r="C5" s="80" t="str">
        <f>'Model Controls'!$E$2</f>
        <v>Mixed-Use Residential Mid-rise</v>
      </c>
      <c r="D5" s="80"/>
    </row>
    <row r="6" spans="2:10" x14ac:dyDescent="0.25">
      <c r="G6" s="153" t="s">
        <v>244</v>
      </c>
    </row>
    <row r="7" spans="2:10" ht="14.4" thickBot="1" x14ac:dyDescent="0.3">
      <c r="B7" s="246"/>
      <c r="G7" s="153"/>
    </row>
    <row r="8" spans="2:10" x14ac:dyDescent="0.25">
      <c r="B8" s="513" t="s">
        <v>230</v>
      </c>
      <c r="C8" s="511" t="s">
        <v>139</v>
      </c>
      <c r="D8" s="510" t="s">
        <v>208</v>
      </c>
      <c r="E8" s="510"/>
      <c r="G8" s="513" t="s">
        <v>230</v>
      </c>
      <c r="H8" s="511" t="s">
        <v>139</v>
      </c>
      <c r="I8" s="510" t="s">
        <v>208</v>
      </c>
      <c r="J8" s="510"/>
    </row>
    <row r="9" spans="2:10" x14ac:dyDescent="0.25">
      <c r="B9" s="514"/>
      <c r="C9" s="512"/>
      <c r="D9" s="408" t="s">
        <v>214</v>
      </c>
      <c r="E9" s="408" t="s">
        <v>215</v>
      </c>
      <c r="G9" s="514"/>
      <c r="H9" s="512"/>
      <c r="I9" s="408" t="s">
        <v>214</v>
      </c>
      <c r="J9" s="408" t="s">
        <v>215</v>
      </c>
    </row>
    <row r="10" spans="2:10" x14ac:dyDescent="0.25">
      <c r="B10" s="218" t="s">
        <v>230</v>
      </c>
      <c r="C10" s="219"/>
      <c r="D10" s="219"/>
      <c r="E10" s="219"/>
      <c r="G10" s="153" t="s">
        <v>245</v>
      </c>
      <c r="H10" s="615">
        <f>Model_Baseline!D21</f>
        <v>3.9338235294117645</v>
      </c>
      <c r="I10" s="615"/>
      <c r="J10" s="615"/>
    </row>
    <row r="11" spans="2:10" x14ac:dyDescent="0.25">
      <c r="B11" s="188" t="s">
        <v>231</v>
      </c>
      <c r="C11" s="154">
        <f>'Model Controls'!E26</f>
        <v>0</v>
      </c>
      <c r="D11" s="365">
        <f>'Model Controls'!H26</f>
        <v>0.1</v>
      </c>
      <c r="E11" s="365">
        <f>'Model Controls'!K26+'Model Controls'!K52</f>
        <v>0.25</v>
      </c>
      <c r="G11" s="133" t="s">
        <v>223</v>
      </c>
      <c r="H11" s="194">
        <f>D23</f>
        <v>-50.37604241671557</v>
      </c>
      <c r="I11" s="194">
        <f>D25</f>
        <v>-77.72048112639304</v>
      </c>
      <c r="J11" s="194">
        <f>D26</f>
        <v>-176.32518652361006</v>
      </c>
    </row>
    <row r="12" spans="2:10" ht="14.4" thickBot="1" x14ac:dyDescent="0.3">
      <c r="B12" s="188" t="s">
        <v>102</v>
      </c>
      <c r="C12" s="409">
        <f>'Model Controls'!E27</f>
        <v>0</v>
      </c>
      <c r="D12" s="366">
        <f>'Model Controls'!$H$27</f>
        <v>0.8</v>
      </c>
      <c r="E12" s="366">
        <f>'Model Controls'!$K$27</f>
        <v>0.8</v>
      </c>
      <c r="G12" s="246" t="s">
        <v>218</v>
      </c>
      <c r="H12" s="534">
        <f>D37</f>
        <v>4.0642826274018537E-2</v>
      </c>
      <c r="I12" s="534">
        <f>D39</f>
        <v>3.9707057883694899E-2</v>
      </c>
      <c r="J12" s="534">
        <f>D40</f>
        <v>4.0089085616051991E-2</v>
      </c>
    </row>
    <row r="13" spans="2:10" x14ac:dyDescent="0.25">
      <c r="B13" s="508" t="s">
        <v>104</v>
      </c>
      <c r="C13" s="511" t="s">
        <v>139</v>
      </c>
      <c r="D13" s="510" t="s">
        <v>208</v>
      </c>
      <c r="E13" s="510"/>
    </row>
    <row r="14" spans="2:10" x14ac:dyDescent="0.25">
      <c r="B14" s="509"/>
      <c r="C14" s="512"/>
      <c r="D14" s="408" t="s">
        <v>214</v>
      </c>
      <c r="E14" s="408" t="s">
        <v>215</v>
      </c>
      <c r="G14" s="153" t="s">
        <v>224</v>
      </c>
    </row>
    <row r="15" spans="2:10" ht="14.4" thickBot="1" x14ac:dyDescent="0.3">
      <c r="B15" s="218" t="s">
        <v>104</v>
      </c>
      <c r="C15" s="367"/>
      <c r="D15" s="367"/>
      <c r="E15" s="367"/>
      <c r="H15" s="515"/>
      <c r="I15" s="515"/>
      <c r="J15" s="515"/>
    </row>
    <row r="16" spans="2:10" x14ac:dyDescent="0.25">
      <c r="B16" s="188" t="s">
        <v>232</v>
      </c>
      <c r="C16" s="364">
        <f>'Model Controls'!E34</f>
        <v>28.07</v>
      </c>
      <c r="D16" s="364">
        <f>'Model Controls'!$H$34</f>
        <v>28.07</v>
      </c>
      <c r="E16" s="364">
        <f>'Model Controls'!$K$34</f>
        <v>28.07</v>
      </c>
      <c r="G16" s="513" t="s">
        <v>230</v>
      </c>
      <c r="H16" s="511" t="s">
        <v>139</v>
      </c>
      <c r="I16" s="510" t="s">
        <v>208</v>
      </c>
      <c r="J16" s="510"/>
    </row>
    <row r="17" spans="2:10" x14ac:dyDescent="0.25">
      <c r="B17" s="188" t="s">
        <v>233</v>
      </c>
      <c r="C17" s="364">
        <f>'Model Controls'!E35</f>
        <v>0</v>
      </c>
      <c r="D17" s="364">
        <f>'Model Controls'!H35</f>
        <v>0</v>
      </c>
      <c r="E17" s="364">
        <f>'Model Controls'!K35+'Model Controls'!K63</f>
        <v>0</v>
      </c>
      <c r="G17" s="514"/>
      <c r="H17" s="512"/>
      <c r="I17" s="408" t="s">
        <v>214</v>
      </c>
      <c r="J17" s="408" t="s">
        <v>215</v>
      </c>
    </row>
    <row r="18" spans="2:10" x14ac:dyDescent="0.25">
      <c r="B18" s="218" t="s">
        <v>106</v>
      </c>
      <c r="C18" s="367"/>
      <c r="D18" s="367"/>
      <c r="E18" s="367"/>
      <c r="G18" s="153" t="s">
        <v>228</v>
      </c>
      <c r="H18" s="556">
        <f>IFERROR(Model_Baseline!B11/Model_Baseline!B10,"n/a")</f>
        <v>1</v>
      </c>
      <c r="I18" s="556">
        <f>IFERROR(Model_Scenario_Base!B11/Model_Scenario_Base!B10,"n/a")</f>
        <v>1</v>
      </c>
      <c r="J18" s="556">
        <f>IFERROR(Model_Scenario_Max!B11/Model_Scenario_Max!B10,"n/a")</f>
        <v>1.0046728971962617</v>
      </c>
    </row>
    <row r="19" spans="2:10" ht="14.4" thickBot="1" x14ac:dyDescent="0.3">
      <c r="B19" s="216" t="s">
        <v>234</v>
      </c>
      <c r="C19" s="368">
        <f>'Model Controls'!E42</f>
        <v>0.1</v>
      </c>
      <c r="D19" s="368">
        <f>'Model Controls'!$H$42+'Model Controls'!$H$85</f>
        <v>0.1</v>
      </c>
      <c r="E19" s="368">
        <f>'Model Controls'!$K$42+'Model Controls'!$K$85</f>
        <v>0.1</v>
      </c>
      <c r="G19" s="133" t="s">
        <v>223</v>
      </c>
      <c r="H19" s="194">
        <f>D23</f>
        <v>-50.37604241671557</v>
      </c>
      <c r="I19" s="194">
        <f>D25</f>
        <v>-77.72048112639304</v>
      </c>
      <c r="J19" s="194">
        <f>D26</f>
        <v>-176.32518652361006</v>
      </c>
    </row>
    <row r="20" spans="2:10" ht="14.4" thickBot="1" x14ac:dyDescent="0.3">
      <c r="B20" s="153"/>
      <c r="C20" s="210"/>
      <c r="G20" s="246" t="s">
        <v>218</v>
      </c>
      <c r="H20" s="534">
        <f>D37</f>
        <v>4.0642826274018537E-2</v>
      </c>
      <c r="I20" s="534">
        <f>D39</f>
        <v>3.9707057883694899E-2</v>
      </c>
      <c r="J20" s="534">
        <f>D40</f>
        <v>4.0089085616051991E-2</v>
      </c>
    </row>
    <row r="21" spans="2:10" ht="14.4" thickBot="1" x14ac:dyDescent="0.3">
      <c r="B21" s="217" t="s">
        <v>235</v>
      </c>
      <c r="C21" s="217"/>
      <c r="D21" s="217"/>
      <c r="E21" s="246"/>
      <c r="G21" s="393"/>
      <c r="H21" s="533"/>
      <c r="I21" s="533"/>
      <c r="J21" s="533"/>
    </row>
    <row r="22" spans="2:10" x14ac:dyDescent="0.25">
      <c r="B22" s="153" t="s">
        <v>236</v>
      </c>
      <c r="C22" s="372">
        <f>Model_Scenario_Base!J45</f>
        <v>4.4999999999999998E-2</v>
      </c>
      <c r="D22" s="372">
        <f>Model_Scenario_Base!K45</f>
        <v>4.7500000000000001E-2</v>
      </c>
      <c r="E22" s="372">
        <f>Model_Scenario_Base!L45</f>
        <v>0.05</v>
      </c>
      <c r="G22" s="393"/>
      <c r="H22" s="533"/>
      <c r="I22" s="533"/>
      <c r="J22" s="533"/>
    </row>
    <row r="23" spans="2:10" x14ac:dyDescent="0.25">
      <c r="B23" s="153" t="s">
        <v>139</v>
      </c>
      <c r="C23" s="194">
        <f>Model_Baseline!J48</f>
        <v>15.603916081681126</v>
      </c>
      <c r="D23" s="194">
        <f>Model_Baseline!K48</f>
        <v>-50.37604241671557</v>
      </c>
      <c r="E23" s="194">
        <f>Model_Baseline!L48</f>
        <v>-109.75800506527241</v>
      </c>
      <c r="G23" s="393"/>
      <c r="H23" s="533"/>
      <c r="I23" s="533"/>
      <c r="J23" s="533"/>
    </row>
    <row r="24" spans="2:10" x14ac:dyDescent="0.25">
      <c r="B24" s="153" t="s">
        <v>208</v>
      </c>
      <c r="C24" s="372"/>
      <c r="D24" s="372"/>
      <c r="E24" s="372"/>
    </row>
    <row r="25" spans="2:10" x14ac:dyDescent="0.25">
      <c r="B25" s="108" t="s">
        <v>214</v>
      </c>
      <c r="C25" s="369">
        <f>Model_Scenario_Base!J48</f>
        <v>-13.259658111867404</v>
      </c>
      <c r="D25" s="369">
        <f>Model_Scenario_Base!K48</f>
        <v>-77.72048112639304</v>
      </c>
      <c r="E25" s="369">
        <f>Model_Scenario_Base!L48</f>
        <v>-135.73522183946594</v>
      </c>
      <c r="G25" s="188"/>
    </row>
    <row r="26" spans="2:10" x14ac:dyDescent="0.25">
      <c r="B26" s="393" t="s">
        <v>215</v>
      </c>
      <c r="C26" s="370">
        <f>Model_Scenario_Max!J51</f>
        <v>-78.256029006160318</v>
      </c>
      <c r="D26" s="370">
        <f>Model_Scenario_Max!K51</f>
        <v>-176.32518652361006</v>
      </c>
      <c r="E26" s="370">
        <f>Model_Scenario_Max!L51</f>
        <v>-264.58742828931469</v>
      </c>
    </row>
    <row r="27" spans="2:10" ht="14.4" thickBot="1" x14ac:dyDescent="0.3">
      <c r="B27" s="251" t="s">
        <v>237</v>
      </c>
      <c r="C27" s="371">
        <f>IF(AND(C26&lt;0,C25&lt;0),-((C26-C25)/C25),(C26-C25)/C25)</f>
        <v>-4.9018134816101409</v>
      </c>
      <c r="D27" s="371">
        <f>IF(AND(D26&lt;0,D25&lt;0),-((D26-D25)/D25),(D26-D25)/D25)</f>
        <v>-1.2687094053993435</v>
      </c>
      <c r="E27" s="371">
        <f>IF(AND(E26&lt;0,E25&lt;0),-((E26-E25)/E25),(E26-E25)/E25)</f>
        <v>-0.94929086720204625</v>
      </c>
    </row>
    <row r="29" spans="2:10" ht="14.4" thickBot="1" x14ac:dyDescent="0.3">
      <c r="B29" s="251" t="s">
        <v>218</v>
      </c>
      <c r="C29" s="246"/>
      <c r="D29" s="246"/>
      <c r="E29" s="246"/>
    </row>
    <row r="30" spans="2:10" x14ac:dyDescent="0.25">
      <c r="B30" s="153" t="s">
        <v>238</v>
      </c>
      <c r="C30" s="392">
        <f>Model_Scenario_Base!J57</f>
        <v>339.07000000000005</v>
      </c>
      <c r="D30" s="392">
        <f>Model_Scenario_Base!K57</f>
        <v>314.07000000000005</v>
      </c>
      <c r="E30" s="392">
        <f>Model_Scenario_Base!L57</f>
        <v>289.07000000000005</v>
      </c>
    </row>
    <row r="31" spans="2:10" x14ac:dyDescent="0.25">
      <c r="B31" s="153" t="str">
        <f>IF(OR(C5='Lookup Lists'!$B$5,C5='Lookup Lists'!$B$6),"Total Development Cost","Total Development Cost Per Unit")</f>
        <v>Total Development Cost Per Unit</v>
      </c>
      <c r="C31" s="392"/>
      <c r="D31" s="392"/>
      <c r="E31" s="392"/>
    </row>
    <row r="32" spans="2:10" x14ac:dyDescent="0.25">
      <c r="B32" s="215" t="s">
        <v>139</v>
      </c>
      <c r="C32" s="247">
        <f>IFERROR(MROUND(Model_Baseline!J$58/Model_Baseline!$B$10,100),MROUND(Model_Baseline!J$58,100))</f>
        <v>665100</v>
      </c>
      <c r="D32" s="247">
        <f>IFERROR(MROUND(Model_Baseline!K$58/Model_Baseline!$B$10,100),MROUND(Model_Baseline!K$58,100))</f>
        <v>632800</v>
      </c>
      <c r="E32" s="247">
        <f>IFERROR(MROUND(Model_Baseline!L$58/Model_Baseline!$B$10,100),MROUND(Model_Baseline!L$58,100))</f>
        <v>600500</v>
      </c>
    </row>
    <row r="33" spans="2:6" x14ac:dyDescent="0.25">
      <c r="B33" s="215" t="s">
        <v>208</v>
      </c>
      <c r="C33" s="392"/>
      <c r="D33" s="392"/>
      <c r="E33" s="392"/>
    </row>
    <row r="34" spans="2:6" x14ac:dyDescent="0.25">
      <c r="B34" s="188" t="s">
        <v>214</v>
      </c>
      <c r="C34" s="247">
        <f>IFERROR(MROUND(Model_Scenario_Base!J$58/Model_Scenario_Base!$B$10,100),MROUND(Model_Scenario_Base!J$58,100))</f>
        <v>665100</v>
      </c>
      <c r="D34" s="247">
        <f>IFERROR(MROUND(Model_Scenario_Base!K$58/Model_Scenario_Base!$B$10,100),MROUND(Model_Scenario_Base!K$58,100))</f>
        <v>632800</v>
      </c>
      <c r="E34" s="247">
        <f>IFERROR(MROUND(Model_Scenario_Base!L$58/Model_Scenario_Base!$B$10,100),MROUND(Model_Scenario_Base!L$58,100))</f>
        <v>600500</v>
      </c>
    </row>
    <row r="35" spans="2:6" x14ac:dyDescent="0.25">
      <c r="B35" s="188" t="s">
        <v>215</v>
      </c>
      <c r="C35" s="247">
        <f>IFERROR(MROUND(Model_Scenario_Max!J$61/Model_Scenario_Max!$B$10,100),MROUND(Model_Scenario_Max!J$61,100))</f>
        <v>638200</v>
      </c>
      <c r="D35" s="247">
        <f>IFERROR(MROUND(Model_Scenario_Max!K$61/Model_Scenario_Max!$B$10,100),MROUND(Model_Scenario_Max!K$61,100))</f>
        <v>606000</v>
      </c>
      <c r="E35" s="247">
        <f>IFERROR(MROUND(Model_Scenario_Max!L$61/Model_Scenario_Max!$B$10,100),MROUND(Model_Scenario_Max!L$61,100))</f>
        <v>573700</v>
      </c>
    </row>
    <row r="36" spans="2:6" x14ac:dyDescent="0.25">
      <c r="B36" s="153" t="s">
        <v>218</v>
      </c>
      <c r="C36" s="247"/>
      <c r="D36" s="247"/>
      <c r="E36" s="247"/>
    </row>
    <row r="37" spans="2:6" x14ac:dyDescent="0.25">
      <c r="B37" s="215" t="s">
        <v>139</v>
      </c>
      <c r="C37" s="390">
        <f>Model_Baseline!J59</f>
        <v>3.8668339007033696E-2</v>
      </c>
      <c r="D37" s="390">
        <f>Model_Baseline!K59</f>
        <v>4.0642826274018537E-2</v>
      </c>
      <c r="E37" s="390">
        <f>Model_Baseline!L59</f>
        <v>4.2829806903384858E-2</v>
      </c>
    </row>
    <row r="38" spans="2:6" x14ac:dyDescent="0.25">
      <c r="B38" s="215" t="s">
        <v>208</v>
      </c>
      <c r="C38" s="247"/>
      <c r="D38" s="247"/>
      <c r="E38" s="247"/>
    </row>
    <row r="39" spans="2:6" x14ac:dyDescent="0.25">
      <c r="B39" s="188" t="s">
        <v>214</v>
      </c>
      <c r="C39" s="390">
        <f>Model_Scenario_Base!J59</f>
        <v>3.7778031598165528E-2</v>
      </c>
      <c r="D39" s="390">
        <f>Model_Scenario_Base!K59</f>
        <v>3.9707057883694899E-2</v>
      </c>
      <c r="E39" s="390">
        <f>Model_Scenario_Base!L59</f>
        <v>4.1843685042822383E-2</v>
      </c>
    </row>
    <row r="40" spans="2:6" x14ac:dyDescent="0.25">
      <c r="B40" s="188" t="s">
        <v>215</v>
      </c>
      <c r="C40" s="391">
        <f>Model_Scenario_Max!J62</f>
        <v>3.8062288820749697E-2</v>
      </c>
      <c r="D40" s="391">
        <f>Model_Scenario_Max!K62</f>
        <v>4.0089085616051991E-2</v>
      </c>
      <c r="E40" s="391">
        <f>Model_Scenario_Max!L62</f>
        <v>4.2343874594535612E-2</v>
      </c>
    </row>
    <row r="41" spans="2:6" ht="14.4" thickBot="1" x14ac:dyDescent="0.3">
      <c r="B41" s="251" t="s">
        <v>237</v>
      </c>
      <c r="C41" s="389">
        <f>(C40-C39)/C39</f>
        <v>7.524405337147654E-3</v>
      </c>
      <c r="D41" s="389">
        <f>(D40-D39)/D39</f>
        <v>9.6211543417817815E-3</v>
      </c>
      <c r="E41" s="389">
        <f>(E40-E39)/E39</f>
        <v>1.1953764378097677E-2</v>
      </c>
    </row>
    <row r="42" spans="2:6" x14ac:dyDescent="0.25">
      <c r="F42" s="211"/>
    </row>
    <row r="43" spans="2:6" x14ac:dyDescent="0.25">
      <c r="F43" s="211"/>
    </row>
    <row r="44" spans="2:6" x14ac:dyDescent="0.25">
      <c r="B44" s="196"/>
      <c r="C44" s="212"/>
      <c r="D44" s="212"/>
      <c r="F44" s="211"/>
    </row>
    <row r="45" spans="2:6" x14ac:dyDescent="0.25">
      <c r="B45" s="616"/>
      <c r="C45" s="616"/>
      <c r="D45" s="616"/>
    </row>
    <row r="46" spans="2:6" x14ac:dyDescent="0.25">
      <c r="B46" s="616"/>
      <c r="C46" s="616"/>
      <c r="D46" s="616"/>
    </row>
    <row r="47" spans="2:6" x14ac:dyDescent="0.25">
      <c r="B47" s="213"/>
      <c r="C47" s="213"/>
      <c r="D47" s="213"/>
    </row>
    <row r="48" spans="2:6" x14ac:dyDescent="0.25">
      <c r="B48" s="189"/>
    </row>
    <row r="50" spans="2:12" x14ac:dyDescent="0.25">
      <c r="B50" s="214"/>
      <c r="F50" s="214"/>
      <c r="J50" s="214"/>
    </row>
    <row r="52" spans="2:12" x14ac:dyDescent="0.25">
      <c r="C52" s="153"/>
      <c r="D52" s="153"/>
      <c r="G52" s="153"/>
      <c r="H52" s="153"/>
      <c r="K52" s="153"/>
      <c r="L52" s="153"/>
    </row>
    <row r="53" spans="2:12" x14ac:dyDescent="0.25">
      <c r="B53" s="153"/>
      <c r="F53" s="153"/>
      <c r="J53" s="153"/>
    </row>
    <row r="54" spans="2:12" x14ac:dyDescent="0.25">
      <c r="B54" s="215"/>
      <c r="C54" s="153"/>
      <c r="D54" s="153"/>
      <c r="E54" s="154"/>
      <c r="F54" s="215"/>
      <c r="G54" s="153"/>
      <c r="H54" s="153"/>
      <c r="J54" s="215"/>
      <c r="K54" s="153"/>
      <c r="L54" s="153"/>
    </row>
    <row r="55" spans="2:12" x14ac:dyDescent="0.25">
      <c r="B55" s="188"/>
      <c r="C55" s="154"/>
      <c r="D55" s="154"/>
      <c r="E55" s="154"/>
      <c r="F55" s="188"/>
      <c r="G55" s="154"/>
      <c r="H55" s="154"/>
      <c r="J55" s="188"/>
      <c r="K55" s="154"/>
      <c r="L55" s="154"/>
    </row>
    <row r="56" spans="2:12" x14ac:dyDescent="0.25">
      <c r="B56" s="188"/>
      <c r="C56" s="154"/>
      <c r="D56" s="154"/>
      <c r="F56" s="188"/>
      <c r="G56" s="154"/>
      <c r="H56" s="154"/>
      <c r="J56" s="188"/>
      <c r="K56" s="154"/>
      <c r="L56" s="154"/>
    </row>
    <row r="57" spans="2:12" x14ac:dyDescent="0.25">
      <c r="B57" s="215"/>
      <c r="C57" s="153"/>
      <c r="D57" s="153"/>
      <c r="E57" s="155"/>
      <c r="F57" s="215"/>
      <c r="G57" s="153"/>
      <c r="H57" s="153"/>
      <c r="J57" s="215"/>
      <c r="K57" s="153"/>
      <c r="L57" s="153"/>
    </row>
    <row r="58" spans="2:12" x14ac:dyDescent="0.25">
      <c r="B58" s="188"/>
      <c r="C58" s="155"/>
      <c r="D58" s="155"/>
      <c r="F58" s="188"/>
      <c r="G58" s="155"/>
      <c r="H58" s="155"/>
      <c r="J58" s="188"/>
      <c r="K58" s="155"/>
      <c r="L58" s="155"/>
    </row>
    <row r="59" spans="2:12" x14ac:dyDescent="0.25">
      <c r="B59" s="215"/>
      <c r="C59" s="153"/>
      <c r="D59" s="153"/>
      <c r="E59" s="154"/>
      <c r="F59" s="215"/>
      <c r="G59" s="153"/>
      <c r="H59" s="153"/>
      <c r="J59" s="215"/>
      <c r="K59" s="153"/>
      <c r="L59" s="153"/>
    </row>
    <row r="60" spans="2:12" x14ac:dyDescent="0.25">
      <c r="B60" s="188"/>
      <c r="C60" s="154"/>
      <c r="D60" s="154"/>
      <c r="F60" s="188"/>
      <c r="G60" s="154"/>
      <c r="H60" s="154"/>
      <c r="J60" s="188"/>
      <c r="K60" s="154"/>
      <c r="L60" s="154"/>
    </row>
    <row r="61" spans="2:12" x14ac:dyDescent="0.25">
      <c r="B61" s="215"/>
      <c r="C61" s="153"/>
      <c r="D61" s="153"/>
      <c r="E61" s="156"/>
      <c r="F61" s="215"/>
      <c r="G61" s="153"/>
      <c r="H61" s="153"/>
      <c r="J61" s="215"/>
      <c r="K61" s="153"/>
      <c r="L61" s="153"/>
    </row>
    <row r="62" spans="2:12" x14ac:dyDescent="0.25">
      <c r="B62" s="188"/>
      <c r="C62" s="156"/>
      <c r="D62" s="156"/>
      <c r="F62" s="188"/>
      <c r="G62" s="156"/>
      <c r="H62" s="156"/>
      <c r="J62" s="188"/>
      <c r="K62" s="156"/>
      <c r="L62" s="156"/>
    </row>
    <row r="63" spans="2:12" x14ac:dyDescent="0.25">
      <c r="B63" s="215"/>
      <c r="C63" s="153"/>
      <c r="D63" s="153"/>
      <c r="E63" s="154"/>
      <c r="F63" s="215"/>
      <c r="G63" s="153"/>
      <c r="H63" s="153"/>
      <c r="J63" s="215"/>
      <c r="K63" s="153"/>
      <c r="L63" s="153"/>
    </row>
    <row r="64" spans="2:12" x14ac:dyDescent="0.25">
      <c r="B64" s="188"/>
      <c r="C64" s="154"/>
      <c r="D64" s="154"/>
      <c r="E64" s="154"/>
      <c r="F64" s="188"/>
      <c r="G64" s="154"/>
      <c r="H64" s="154"/>
      <c r="J64" s="188"/>
      <c r="K64" s="154"/>
      <c r="L64" s="154"/>
    </row>
    <row r="65" spans="2:12" x14ac:dyDescent="0.25">
      <c r="B65" s="188"/>
      <c r="C65" s="154"/>
      <c r="D65" s="154"/>
      <c r="F65" s="188"/>
      <c r="G65" s="154"/>
      <c r="H65" s="154"/>
      <c r="J65" s="188"/>
      <c r="K65" s="154"/>
      <c r="L65" s="154"/>
    </row>
    <row r="66" spans="2:12" x14ac:dyDescent="0.25">
      <c r="B66" s="215"/>
      <c r="C66" s="153"/>
      <c r="D66" s="153"/>
      <c r="E66" s="154"/>
      <c r="F66" s="215"/>
      <c r="G66" s="153"/>
      <c r="H66" s="153"/>
      <c r="J66" s="215"/>
      <c r="K66" s="153"/>
      <c r="L66" s="153"/>
    </row>
    <row r="67" spans="2:12" x14ac:dyDescent="0.25">
      <c r="B67" s="188"/>
      <c r="C67" s="154"/>
      <c r="D67" s="154"/>
      <c r="F67" s="188"/>
      <c r="G67" s="154"/>
      <c r="H67" s="154"/>
      <c r="J67" s="188"/>
      <c r="K67" s="154"/>
      <c r="L67" s="154"/>
    </row>
    <row r="68" spans="2:12" x14ac:dyDescent="0.25">
      <c r="B68" s="153"/>
      <c r="F68" s="153"/>
      <c r="J68" s="153"/>
    </row>
    <row r="69" spans="2:12" x14ac:dyDescent="0.25">
      <c r="B69" s="83"/>
      <c r="C69" s="83"/>
      <c r="D69" s="83"/>
      <c r="F69" s="83"/>
      <c r="G69" s="83"/>
      <c r="H69" s="83"/>
      <c r="J69" s="83"/>
      <c r="K69" s="83"/>
      <c r="L69" s="83"/>
    </row>
    <row r="70" spans="2:12" x14ac:dyDescent="0.25">
      <c r="B70" s="108"/>
      <c r="C70" s="194"/>
      <c r="D70" s="194"/>
      <c r="F70" s="108"/>
      <c r="G70" s="194"/>
      <c r="H70" s="194"/>
      <c r="J70" s="108"/>
      <c r="K70" s="194"/>
      <c r="L70" s="194"/>
    </row>
    <row r="71" spans="2:12" x14ac:dyDescent="0.25">
      <c r="B71" s="108"/>
      <c r="C71" s="203"/>
      <c r="D71" s="203"/>
      <c r="E71" s="78"/>
      <c r="F71" s="108"/>
      <c r="G71" s="203"/>
      <c r="H71" s="203"/>
      <c r="J71" s="108"/>
      <c r="K71" s="203"/>
      <c r="L71" s="203"/>
    </row>
    <row r="72" spans="2:12" x14ac:dyDescent="0.25">
      <c r="B72" s="593"/>
      <c r="C72" s="593"/>
      <c r="D72" s="593"/>
      <c r="F72" s="593"/>
      <c r="G72" s="593"/>
      <c r="H72" s="593"/>
      <c r="J72" s="593"/>
      <c r="K72" s="593"/>
      <c r="L72" s="593"/>
    </row>
    <row r="73" spans="2:12" x14ac:dyDescent="0.25">
      <c r="B73" s="593"/>
      <c r="C73" s="593"/>
      <c r="D73" s="593"/>
      <c r="F73" s="593"/>
      <c r="G73" s="593"/>
      <c r="H73" s="593"/>
      <c r="J73" s="593"/>
      <c r="K73" s="593"/>
      <c r="L73" s="593"/>
    </row>
  </sheetData>
  <mergeCells count="6">
    <mergeCell ref="H10:J10"/>
    <mergeCell ref="F72:F73"/>
    <mergeCell ref="G72:H73"/>
    <mergeCell ref="J72:L73"/>
    <mergeCell ref="B72:D73"/>
    <mergeCell ref="B45:D46"/>
  </mergeCells>
  <conditionalFormatting sqref="C44:D44">
    <cfRule type="cellIs" dxfId="12" priority="2" operator="greaterThan">
      <formula>0</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B4E8-76A2-4E0E-BE0C-EF5062CFE090}">
  <sheetPr codeName="Sheet9">
    <tabColor theme="6"/>
  </sheetPr>
  <dimension ref="B1:P104"/>
  <sheetViews>
    <sheetView zoomScale="80" zoomScaleNormal="80" workbookViewId="0">
      <selection activeCell="E2" sqref="E2"/>
    </sheetView>
  </sheetViews>
  <sheetFormatPr defaultColWidth="8.69921875" defaultRowHeight="13.8" x14ac:dyDescent="0.25"/>
  <cols>
    <col min="1" max="1" width="2.59765625" style="78" customWidth="1"/>
    <col min="2" max="2" width="27.59765625" style="124" bestFit="1" customWidth="1"/>
    <col min="3" max="3" width="2.09765625" style="78" customWidth="1"/>
    <col min="4" max="4" width="31.59765625" style="78" customWidth="1"/>
    <col min="5" max="5" width="28.19921875" style="78" bestFit="1" customWidth="1"/>
    <col min="6" max="6" width="5.09765625" style="78" customWidth="1"/>
    <col min="7" max="7" width="31" style="78" customWidth="1"/>
    <col min="8" max="8" width="17.8984375" style="78" customWidth="1"/>
    <col min="9" max="9" width="4.69921875" style="78" customWidth="1"/>
    <col min="10" max="10" width="31.09765625" style="78" customWidth="1"/>
    <col min="11" max="11" width="24.09765625" style="78" customWidth="1"/>
    <col min="12" max="12" width="10.8984375" style="78" customWidth="1"/>
    <col min="13" max="13" width="17.69921875" style="78" customWidth="1"/>
    <col min="14" max="14" width="12.5" style="78" customWidth="1"/>
    <col min="15" max="15" width="9.09765625" style="78" bestFit="1" customWidth="1"/>
    <col min="16" max="16384" width="8.69921875" style="78"/>
  </cols>
  <sheetData>
    <row r="1" spans="2:16" ht="4.95" customHeight="1" x14ac:dyDescent="0.25"/>
    <row r="2" spans="2:16" ht="17.399999999999999" x14ac:dyDescent="0.25">
      <c r="B2" s="159" t="s">
        <v>246</v>
      </c>
      <c r="D2" s="160" t="s">
        <v>247</v>
      </c>
      <c r="E2" s="63" t="s">
        <v>126</v>
      </c>
    </row>
    <row r="3" spans="2:16" x14ac:dyDescent="0.25">
      <c r="B3" s="50" t="s">
        <v>95</v>
      </c>
      <c r="D3" s="579" t="s">
        <v>248</v>
      </c>
      <c r="E3" s="63" t="s">
        <v>136</v>
      </c>
      <c r="F3" s="78" t="s">
        <v>249</v>
      </c>
    </row>
    <row r="4" spans="2:16" x14ac:dyDescent="0.25">
      <c r="B4" s="62" t="s">
        <v>601</v>
      </c>
      <c r="D4" s="579" t="s">
        <v>250</v>
      </c>
      <c r="E4" s="63" t="s">
        <v>136</v>
      </c>
      <c r="F4" s="63">
        <v>8</v>
      </c>
      <c r="G4" s="78" t="s">
        <v>251</v>
      </c>
    </row>
    <row r="5" spans="2:16" x14ac:dyDescent="0.25">
      <c r="B5" s="137" t="s">
        <v>252</v>
      </c>
      <c r="D5" s="579" t="s">
        <v>253</v>
      </c>
      <c r="E5" s="63" t="s">
        <v>136</v>
      </c>
      <c r="F5" s="78" t="s">
        <v>251</v>
      </c>
    </row>
    <row r="6" spans="2:16" x14ac:dyDescent="0.25">
      <c r="B6" s="78"/>
      <c r="H6" s="122"/>
    </row>
    <row r="7" spans="2:16" ht="20.399999999999999" x14ac:dyDescent="0.35">
      <c r="B7" s="78"/>
      <c r="D7" s="225" t="s">
        <v>139</v>
      </c>
      <c r="G7" s="225" t="s">
        <v>254</v>
      </c>
      <c r="M7" s="161" t="s">
        <v>255</v>
      </c>
      <c r="N7" s="134" t="s">
        <v>139</v>
      </c>
      <c r="O7" s="617" t="s">
        <v>208</v>
      </c>
      <c r="P7" s="617"/>
    </row>
    <row r="8" spans="2:16" x14ac:dyDescent="0.25">
      <c r="B8" s="78"/>
      <c r="D8" s="136" t="s">
        <v>191</v>
      </c>
      <c r="G8" s="136" t="s">
        <v>191</v>
      </c>
      <c r="J8" s="136" t="s">
        <v>191</v>
      </c>
      <c r="M8" s="83" t="s">
        <v>256</v>
      </c>
      <c r="N8" s="407"/>
      <c r="O8" s="134" t="s">
        <v>214</v>
      </c>
      <c r="P8" s="134" t="s">
        <v>215</v>
      </c>
    </row>
    <row r="9" spans="2:16" x14ac:dyDescent="0.25">
      <c r="B9" s="78"/>
      <c r="D9" s="78" t="s">
        <v>257</v>
      </c>
      <c r="E9" s="122">
        <f>INDEX('Prototype Inputs'!$C$19:$G$19,MATCH('Model Controls'!$E$2,'Prototype Inputs'!$C$72:$G$72,0))/INDEX('Prototype Inputs'!$C$17:$G$17,MATCH('Model Controls'!$E$2,'Prototype Inputs'!$C$72:$G$72,0))</f>
        <v>108500</v>
      </c>
      <c r="G9" s="78" t="s">
        <v>257</v>
      </c>
      <c r="H9" s="122">
        <f>INDEX('Prototype Inputs'!$C$81:$G$81,MATCH('Model Controls'!$E$2,'Prototype Inputs'!$C$72:$G$72,0))/INDEX('Prototype Inputs'!$C$79:$G$79,MATCH('Model Controls'!$E$2,'Prototype Inputs'!$C$72:$G$72,0))</f>
        <v>108500</v>
      </c>
      <c r="J9" s="124" t="s">
        <v>258</v>
      </c>
      <c r="K9" s="148">
        <f>INDEX('Prototype Inputs'!$C$145:$G$145,MATCH('Model Controls'!$E$2,'Prototype Inputs'!$C$136:$G$136,0))/INDEX('Prototype Inputs'!$C$143:$G$143,MATCH('Model Controls'!$E$2,'Prototype Inputs'!$C$136:$G$136,0))</f>
        <v>170500</v>
      </c>
      <c r="M9" s="152" t="s">
        <v>259</v>
      </c>
      <c r="N9" s="183">
        <f>Model_Baseline!K48</f>
        <v>-50.37604241671557</v>
      </c>
      <c r="O9" s="183">
        <f>Model_Scenario_Base!K48</f>
        <v>-77.72048112639304</v>
      </c>
      <c r="P9" s="183">
        <f>Model_Scenario_Max!K51</f>
        <v>-176.32518652361006</v>
      </c>
    </row>
    <row r="10" spans="2:16" x14ac:dyDescent="0.25">
      <c r="B10" s="78"/>
      <c r="D10" s="78" t="s">
        <v>260</v>
      </c>
      <c r="E10" s="122">
        <f>INDEX('Prototype Inputs'!$C$21:$G$21,MATCH('Model Controls'!$E$2,'Prototype Inputs'!$C$10:$G$10,0))/INDEX('Prototype Inputs'!$C$17:$G$17,MATCH('Model Controls'!$E$2,'Prototype Inputs'!$C$72:$G$72,0))</f>
        <v>0</v>
      </c>
      <c r="G10" s="78" t="s">
        <v>260</v>
      </c>
      <c r="H10" s="122">
        <f>INDEX('Prototype Inputs'!$C$83:$G$83,MATCH('Model Controls'!$E$2,'Prototype Inputs'!$C$72:$G$72,0))/INDEX('Prototype Inputs'!$C$79:$G$79,MATCH('Model Controls'!$E$2,'Prototype Inputs'!$C$72:$G$72,0))</f>
        <v>0</v>
      </c>
      <c r="J10" s="78" t="s">
        <v>260</v>
      </c>
      <c r="K10" s="122">
        <f>INDEX('Prototype Inputs'!$C$147:$G$147,MATCH('Model Controls'!$E$2,'Prototype Inputs'!$C$136:$G$136,0))/INDEX('Prototype Inputs'!$C$143:$G$143,MATCH('Model Controls'!$E$2,'Prototype Inputs'!$C$136:$G$136,0))</f>
        <v>0</v>
      </c>
      <c r="M10" s="152" t="s">
        <v>218</v>
      </c>
      <c r="N10" s="164">
        <f>Model_Baseline!K55</f>
        <v>4.0642826274018537E-2</v>
      </c>
      <c r="O10" s="191">
        <f>Model_Scenario_Base!K55</f>
        <v>3.9707057883694899E-2</v>
      </c>
      <c r="P10" s="191">
        <f>Model_Scenario_Max!K58</f>
        <v>4.0089085616051991E-2</v>
      </c>
    </row>
    <row r="11" spans="2:16" x14ac:dyDescent="0.25">
      <c r="D11" s="78" t="s">
        <v>193</v>
      </c>
      <c r="E11" s="122">
        <f>INDEX('Prototype Inputs'!$C$14:$G$14,MATCH('Model Controls'!$E$2,'Prototype Inputs'!$C$10:$G$10,0))</f>
        <v>62000</v>
      </c>
      <c r="G11" s="78" t="s">
        <v>193</v>
      </c>
      <c r="H11" s="122">
        <f>INDEX('Prototype Inputs'!$C$76:$G$76,MATCH('Model Controls'!$E$2,'Prototype Inputs'!$C$72:$G$72,0))</f>
        <v>62000</v>
      </c>
      <c r="J11" s="124" t="s">
        <v>193</v>
      </c>
      <c r="K11" s="148">
        <f>INDEX('Prototype Inputs'!$C$140:$G$140,MATCH('Model Controls'!$E$2,'Prototype Inputs'!$C$136:$G$136,0))</f>
        <v>62000</v>
      </c>
      <c r="M11" s="78" t="s">
        <v>261</v>
      </c>
      <c r="P11" s="221"/>
    </row>
    <row r="12" spans="2:16" x14ac:dyDescent="0.25">
      <c r="D12" s="78" t="s">
        <v>262</v>
      </c>
      <c r="E12" s="223">
        <f>E9/E11</f>
        <v>1.75</v>
      </c>
      <c r="G12" s="78" t="s">
        <v>262</v>
      </c>
      <c r="H12" s="223">
        <f>H9/H11</f>
        <v>1.75</v>
      </c>
      <c r="J12" s="124" t="s">
        <v>262</v>
      </c>
      <c r="K12" s="560">
        <f>K9/K11</f>
        <v>2.75</v>
      </c>
      <c r="M12" s="78" t="s">
        <v>263</v>
      </c>
      <c r="N12" s="618">
        <f>(O10-N10)/N10</f>
        <v>-2.3024195808002662E-2</v>
      </c>
      <c r="O12" s="618"/>
      <c r="P12" s="618"/>
    </row>
    <row r="13" spans="2:16" x14ac:dyDescent="0.25">
      <c r="D13" s="78" t="s">
        <v>264</v>
      </c>
      <c r="E13" s="78">
        <f>E10/E11</f>
        <v>0</v>
      </c>
      <c r="G13" s="78" t="s">
        <v>264</v>
      </c>
      <c r="H13" s="78">
        <f>H10/H11</f>
        <v>0</v>
      </c>
      <c r="J13" s="78" t="s">
        <v>264</v>
      </c>
      <c r="K13" s="223">
        <f>K10/K11</f>
        <v>0</v>
      </c>
      <c r="M13" s="78" t="s">
        <v>265</v>
      </c>
      <c r="N13" s="618">
        <f>(P10-O10)/O10</f>
        <v>9.6211543417817815E-3</v>
      </c>
      <c r="O13" s="618"/>
      <c r="P13" s="618"/>
    </row>
    <row r="14" spans="2:16" x14ac:dyDescent="0.25">
      <c r="D14" s="78" t="s">
        <v>206</v>
      </c>
      <c r="E14" s="103">
        <f>INDEX('Prototype Inputs'!$C$36:$G$36,MATCH('Model Controls'!$E$2,'Prototype Inputs'!$C$10:$G$10,0))</f>
        <v>136</v>
      </c>
      <c r="G14" s="78" t="s">
        <v>206</v>
      </c>
      <c r="H14" s="103">
        <f>INDEX('Prototype Inputs'!$C$98:$G$98,MATCH('Model Controls'!$E$2,'Prototype Inputs'!$C$72:$G$72,0))</f>
        <v>136</v>
      </c>
      <c r="J14" s="124" t="s">
        <v>206</v>
      </c>
      <c r="K14" s="143">
        <f>INDEX('Prototype Inputs'!$C$162:$G$162,MATCH('Model Controls'!$E$2,'Prototype Inputs'!$C$136:$G$136,0))</f>
        <v>214</v>
      </c>
    </row>
    <row r="15" spans="2:16" x14ac:dyDescent="0.25">
      <c r="H15" s="122"/>
      <c r="J15" s="124" t="s">
        <v>266</v>
      </c>
      <c r="K15" s="148">
        <f>IF(OR($E$2='Lookup Lists'!$B$5,$E$2='Lookup Lists'!$B$6),K10-H10,K9-H9)</f>
        <v>62000</v>
      </c>
      <c r="M15" s="133"/>
      <c r="N15" s="134"/>
      <c r="O15" s="617"/>
      <c r="P15" s="617"/>
    </row>
    <row r="16" spans="2:16" x14ac:dyDescent="0.25">
      <c r="H16" s="122"/>
      <c r="J16" s="124" t="s">
        <v>267</v>
      </c>
      <c r="K16" s="231">
        <f>K15/K11</f>
        <v>1</v>
      </c>
      <c r="M16" s="133"/>
      <c r="N16" s="407"/>
      <c r="O16" s="134"/>
      <c r="P16" s="134"/>
    </row>
    <row r="17" spans="4:16" x14ac:dyDescent="0.25">
      <c r="H17" s="122"/>
      <c r="K17" s="223"/>
      <c r="M17" s="133"/>
      <c r="N17" s="164"/>
      <c r="O17" s="191"/>
      <c r="P17" s="191"/>
    </row>
    <row r="18" spans="4:16" x14ac:dyDescent="0.25">
      <c r="G18" s="238"/>
      <c r="H18" s="239"/>
      <c r="J18" s="136" t="s">
        <v>268</v>
      </c>
      <c r="K18" s="223"/>
      <c r="M18" s="133"/>
      <c r="N18" s="164"/>
      <c r="O18" s="191"/>
      <c r="P18" s="191"/>
    </row>
    <row r="19" spans="4:16" x14ac:dyDescent="0.25">
      <c r="G19" s="130"/>
      <c r="H19" s="239"/>
      <c r="J19" s="78" t="s">
        <v>269</v>
      </c>
      <c r="K19" s="122">
        <f>K15</f>
        <v>62000</v>
      </c>
      <c r="L19" s="78" t="s">
        <v>270</v>
      </c>
      <c r="M19" s="133"/>
      <c r="N19" s="221"/>
      <c r="O19" s="221"/>
    </row>
    <row r="20" spans="4:16" x14ac:dyDescent="0.25">
      <c r="G20" s="130"/>
      <c r="H20" s="240"/>
      <c r="J20" s="78" t="s">
        <v>271</v>
      </c>
      <c r="K20" s="122">
        <f>SUM(K70,K56,K64,K76,K82,K87,K92,K96,K100)</f>
        <v>63529.411764705881</v>
      </c>
      <c r="L20" s="78" t="s">
        <v>270</v>
      </c>
      <c r="M20" s="133"/>
      <c r="N20" s="221"/>
      <c r="O20" s="221"/>
    </row>
    <row r="21" spans="4:16" x14ac:dyDescent="0.25">
      <c r="J21" s="78" t="s">
        <v>272</v>
      </c>
      <c r="K21" s="157">
        <f>K20/K11</f>
        <v>1.0246679316888045</v>
      </c>
    </row>
    <row r="22" spans="4:16" x14ac:dyDescent="0.25">
      <c r="K22" s="157"/>
    </row>
    <row r="23" spans="4:16" ht="20.399999999999999" x14ac:dyDescent="0.35">
      <c r="G23" s="225" t="s">
        <v>214</v>
      </c>
      <c r="J23" s="225" t="s">
        <v>215</v>
      </c>
      <c r="N23" s="221"/>
      <c r="O23" s="221"/>
    </row>
    <row r="24" spans="4:16" ht="20.399999999999999" x14ac:dyDescent="0.35">
      <c r="D24" s="225" t="s">
        <v>139</v>
      </c>
      <c r="G24" s="161" t="s">
        <v>273</v>
      </c>
      <c r="J24" s="161" t="s">
        <v>273</v>
      </c>
      <c r="N24" s="221"/>
      <c r="O24" s="221"/>
    </row>
    <row r="25" spans="4:16" x14ac:dyDescent="0.25">
      <c r="D25" s="83" t="s">
        <v>230</v>
      </c>
      <c r="G25" s="83" t="s">
        <v>230</v>
      </c>
      <c r="J25" s="83" t="s">
        <v>230</v>
      </c>
      <c r="M25" s="133"/>
      <c r="N25" s="221"/>
      <c r="O25" s="221"/>
    </row>
    <row r="26" spans="4:16" x14ac:dyDescent="0.25">
      <c r="D26" s="124" t="s">
        <v>274</v>
      </c>
      <c r="E26" s="335">
        <v>0</v>
      </c>
      <c r="G26" s="124" t="s">
        <v>274</v>
      </c>
      <c r="H26" s="335">
        <v>0.1</v>
      </c>
      <c r="J26" s="124" t="s">
        <v>274</v>
      </c>
      <c r="K26" s="257">
        <f>H26</f>
        <v>0.1</v>
      </c>
      <c r="N26" s="221"/>
      <c r="O26" s="221"/>
    </row>
    <row r="27" spans="4:16" ht="14.7" customHeight="1" x14ac:dyDescent="0.25">
      <c r="D27" s="78" t="s">
        <v>102</v>
      </c>
      <c r="E27" s="56">
        <v>0</v>
      </c>
      <c r="G27" s="78" t="s">
        <v>102</v>
      </c>
      <c r="H27" s="56">
        <v>0.8</v>
      </c>
      <c r="J27" s="78" t="s">
        <v>102</v>
      </c>
      <c r="K27" s="163">
        <f>H27</f>
        <v>0.8</v>
      </c>
    </row>
    <row r="28" spans="4:16" x14ac:dyDescent="0.25">
      <c r="D28" s="78" t="s">
        <v>231</v>
      </c>
      <c r="E28" s="405">
        <f>IFERROR(MROUND($E$14*E26,1),"n/a")</f>
        <v>0</v>
      </c>
      <c r="G28" s="78" t="s">
        <v>231</v>
      </c>
      <c r="H28" s="405">
        <f>IFERROR(MROUND($H$14*H26,1),"n/a")</f>
        <v>14</v>
      </c>
      <c r="J28" s="78" t="s">
        <v>231</v>
      </c>
      <c r="K28" s="343">
        <f>IFERROR(MROUND($K$14*K26,1),"n/a")</f>
        <v>21</v>
      </c>
    </row>
    <row r="29" spans="4:16" x14ac:dyDescent="0.25">
      <c r="E29" s="163"/>
      <c r="H29" s="163"/>
      <c r="K29" s="163"/>
    </row>
    <row r="30" spans="4:16" x14ac:dyDescent="0.25">
      <c r="D30" s="83" t="s">
        <v>275</v>
      </c>
      <c r="G30" s="83" t="s">
        <v>275</v>
      </c>
      <c r="J30" s="83" t="s">
        <v>275</v>
      </c>
      <c r="O30" s="183"/>
    </row>
    <row r="31" spans="4:16" x14ac:dyDescent="0.25">
      <c r="D31" s="124" t="s">
        <v>276</v>
      </c>
      <c r="E31" s="335">
        <v>0</v>
      </c>
      <c r="G31" s="124" t="s">
        <v>276</v>
      </c>
      <c r="H31" s="335">
        <v>0</v>
      </c>
      <c r="J31" s="124" t="s">
        <v>276</v>
      </c>
      <c r="K31" s="335">
        <v>0</v>
      </c>
      <c r="O31" s="183"/>
    </row>
    <row r="32" spans="4:16" x14ac:dyDescent="0.25">
      <c r="D32" s="124" t="s">
        <v>231</v>
      </c>
      <c r="E32" s="337">
        <f>IFERROR(MROUND($E$14*E31,1),"n/a")</f>
        <v>0</v>
      </c>
      <c r="G32" s="124" t="s">
        <v>231</v>
      </c>
      <c r="H32" s="337">
        <f>IFERROR(MROUND($H$14*H31,1),"n/a")</f>
        <v>0</v>
      </c>
      <c r="J32" s="124" t="s">
        <v>277</v>
      </c>
      <c r="K32" s="337">
        <f>IFERROR(MROUND($K$14*K31,1),"n/a")</f>
        <v>0</v>
      </c>
      <c r="O32" s="183"/>
    </row>
    <row r="33" spans="4:15" x14ac:dyDescent="0.25">
      <c r="D33" s="78" t="s">
        <v>278</v>
      </c>
      <c r="E33" s="258">
        <f>IF(OR($E$2='Lookup Lists'!$B$5,$E$2='Lookup Lists'!$B$6),E31*'Model Controls'!$E$10,E32*INDEX('Prototype Inputs'!$C$41:$G$41,MATCH('Model Controls'!$E$2,'Prototype Inputs'!$C$10:$G$10,0)))</f>
        <v>0</v>
      </c>
      <c r="G33" s="78" t="s">
        <v>278</v>
      </c>
      <c r="H33" s="229">
        <f>IF(OR($E$2='Lookup Lists'!$B$5,$E$2='Lookup Lists'!$B$6),H31*'Model Controls'!$H$10,H32*INDEX('Prototype Inputs'!$C$103:$G$103,MATCH('Model Controls'!$E$2,'Prototype Inputs'!$C$72:$G$72,0)))</f>
        <v>0</v>
      </c>
      <c r="J33" s="78" t="s">
        <v>278</v>
      </c>
      <c r="K33" s="229">
        <f>IF(OR($E$2='Lookup Lists'!$B$5,$E$2='Lookup Lists'!$B$6),K31*'Model Controls'!$K$10,K32*INDEX('Prototype Inputs'!$C$167:$G$167,MATCH('Model Controls'!$E$2,'Prototype Inputs'!$C$136:$G$136,0)))</f>
        <v>0</v>
      </c>
      <c r="O33" s="183"/>
    </row>
    <row r="34" spans="4:15" x14ac:dyDescent="0.25">
      <c r="D34" s="124" t="s">
        <v>279</v>
      </c>
      <c r="E34" s="230">
        <f>IF(OR(E2='Lookup Lists'!$B$5,E2='Lookup Lists'!$B$6),E39,'Model Controls'!$E$38)</f>
        <v>28.07</v>
      </c>
      <c r="G34" s="124" t="s">
        <v>279</v>
      </c>
      <c r="H34" s="230">
        <f>IF(OR(E2='Lookup Lists'!$B$5,E2='Lookup Lists'!$B$6),H39,'Model Controls'!$H$38)</f>
        <v>28.07</v>
      </c>
      <c r="J34" s="124" t="s">
        <v>279</v>
      </c>
      <c r="K34" s="230">
        <f>H34</f>
        <v>28.07</v>
      </c>
      <c r="O34" s="162"/>
    </row>
    <row r="35" spans="4:15" x14ac:dyDescent="0.25">
      <c r="D35" s="124" t="s">
        <v>233</v>
      </c>
      <c r="E35" s="237">
        <f>E34*E33</f>
        <v>0</v>
      </c>
      <c r="G35" s="124" t="s">
        <v>233</v>
      </c>
      <c r="H35" s="237">
        <f>H34*H33</f>
        <v>0</v>
      </c>
      <c r="J35" s="124" t="s">
        <v>233</v>
      </c>
      <c r="K35" s="237">
        <f>K34*K33</f>
        <v>0</v>
      </c>
      <c r="O35" s="162"/>
    </row>
    <row r="36" spans="4:15" ht="55.2" x14ac:dyDescent="0.25">
      <c r="G36" s="224" t="s">
        <v>280</v>
      </c>
      <c r="H36" s="220" t="s">
        <v>614</v>
      </c>
      <c r="J36" s="224" t="s">
        <v>280</v>
      </c>
      <c r="K36" s="220" t="s">
        <v>614</v>
      </c>
    </row>
    <row r="37" spans="4:15" x14ac:dyDescent="0.25">
      <c r="D37" s="224" t="s">
        <v>281</v>
      </c>
      <c r="E37" s="220"/>
      <c r="G37" s="224" t="s">
        <v>281</v>
      </c>
      <c r="H37" s="220"/>
      <c r="J37" s="224" t="s">
        <v>281</v>
      </c>
      <c r="K37" s="220"/>
    </row>
    <row r="38" spans="4:15" x14ac:dyDescent="0.25">
      <c r="D38" s="355" t="s">
        <v>166</v>
      </c>
      <c r="E38" s="193">
        <v>28.07</v>
      </c>
      <c r="G38" s="355" t="s">
        <v>166</v>
      </c>
      <c r="H38" s="193">
        <v>28.07</v>
      </c>
      <c r="J38" s="355" t="s">
        <v>166</v>
      </c>
      <c r="K38" s="230">
        <f>H38</f>
        <v>28.07</v>
      </c>
    </row>
    <row r="39" spans="4:15" x14ac:dyDescent="0.25">
      <c r="D39" s="78" t="s">
        <v>282</v>
      </c>
      <c r="E39" s="193">
        <v>23.39</v>
      </c>
      <c r="G39" s="78" t="s">
        <v>282</v>
      </c>
      <c r="H39" s="193">
        <v>23.39</v>
      </c>
      <c r="J39" s="78" t="s">
        <v>282</v>
      </c>
      <c r="K39" s="230">
        <f>H39</f>
        <v>23.39</v>
      </c>
    </row>
    <row r="40" spans="4:15" x14ac:dyDescent="0.25">
      <c r="E40" s="220"/>
      <c r="H40" s="220"/>
      <c r="K40" s="220"/>
    </row>
    <row r="41" spans="4:15" ht="13.95" customHeight="1" x14ac:dyDescent="0.25">
      <c r="D41" s="83" t="s">
        <v>106</v>
      </c>
      <c r="G41" s="83" t="s">
        <v>106</v>
      </c>
      <c r="J41" s="83" t="s">
        <v>106</v>
      </c>
    </row>
    <row r="42" spans="4:15" x14ac:dyDescent="0.25">
      <c r="D42" s="78" t="s">
        <v>234</v>
      </c>
      <c r="E42" s="57">
        <v>0.1</v>
      </c>
      <c r="G42" s="78" t="s">
        <v>234</v>
      </c>
      <c r="H42" s="57">
        <v>0.1</v>
      </c>
      <c r="J42" s="78" t="s">
        <v>234</v>
      </c>
      <c r="K42" s="57">
        <v>0.1</v>
      </c>
    </row>
    <row r="43" spans="4:15" x14ac:dyDescent="0.25">
      <c r="D43" s="78" t="s">
        <v>283</v>
      </c>
      <c r="E43" s="151">
        <f>1-(INDEX('Prototype Inputs'!$C$13:$G$13,MATCH('Model Controls'!$E$2,'Prototype Inputs'!$C$10:$G$10,0))+INDEX('Prototype Inputs'!$C$12:$G$12,MATCH('Model Controls'!$E$2,'Prototype Inputs'!$C$10:$G$10,0)))</f>
        <v>0.55000000000000004</v>
      </c>
      <c r="G43" s="78" t="s">
        <v>283</v>
      </c>
      <c r="H43" s="151">
        <f>1-(INDEX('Prototype Inputs'!$C$75:$G$75,MATCH('Model Controls'!$E$2,'Prototype Inputs'!$C$72:$G$72,0))+INDEX('Prototype Inputs'!$C$74:$G$74,MATCH('Model Controls'!$E$2,'Prototype Inputs'!$C$72:$G$72,0)))</f>
        <v>0.55000000000000004</v>
      </c>
      <c r="J43" s="78" t="s">
        <v>283</v>
      </c>
      <c r="K43" s="151">
        <f>1-(INDEX('Prototype Inputs'!$C$139:$G$139,MATCH('Model Controls'!$E$2,'Prototype Inputs'!$C$136:$G$136,0))+INDEX('Prototype Inputs'!$C$138:$G$138,MATCH('Model Controls'!$E$2,'Prototype Inputs'!$C$136:$G$136,0)))</f>
        <v>0.35</v>
      </c>
    </row>
    <row r="44" spans="4:15" x14ac:dyDescent="0.25">
      <c r="E44" s="129" t="str">
        <f>IF(E43&lt;0,"Open Space Too High","")</f>
        <v/>
      </c>
      <c r="H44" s="129" t="str">
        <f>IF(H43&lt;0,"Open Space Too High","")</f>
        <v/>
      </c>
      <c r="K44" s="129" t="str">
        <f>IF(K43&lt;0,"Open Space Too High","")</f>
        <v/>
      </c>
    </row>
    <row r="45" spans="4:15" x14ac:dyDescent="0.25">
      <c r="D45" s="83" t="s">
        <v>108</v>
      </c>
      <c r="G45" s="83" t="s">
        <v>108</v>
      </c>
      <c r="J45" s="83" t="s">
        <v>108</v>
      </c>
      <c r="O45" s="183"/>
    </row>
    <row r="46" spans="4:15" x14ac:dyDescent="0.25">
      <c r="D46" s="78" t="s">
        <v>284</v>
      </c>
      <c r="E46" s="200" t="s">
        <v>285</v>
      </c>
      <c r="G46" s="78" t="s">
        <v>284</v>
      </c>
      <c r="H46" s="200" t="s">
        <v>285</v>
      </c>
      <c r="J46" s="78" t="s">
        <v>284</v>
      </c>
      <c r="K46" s="200" t="s">
        <v>285</v>
      </c>
      <c r="O46" s="183"/>
    </row>
    <row r="47" spans="4:15" x14ac:dyDescent="0.25">
      <c r="D47" s="78" t="s">
        <v>286</v>
      </c>
      <c r="E47" s="227">
        <f>INDEX('Green Building'!$I$6:$M$10,MATCH('Model Controls'!E46,'Green Building'!$H$6:$H$10,0),MATCH('Model Controls'!$E$2,'Green Building'!$I$5:$M$5,0))</f>
        <v>0</v>
      </c>
      <c r="G47" s="78" t="s">
        <v>286</v>
      </c>
      <c r="H47" s="227">
        <f>INDEX('Green Building'!$I$6:$M$10,MATCH('Model Controls'!H46,'Green Building'!$H$6:$H$10,0),MATCH('Model Controls'!$E$2,'Green Building'!$I$5:$M$5,0))</f>
        <v>0</v>
      </c>
      <c r="J47" s="78" t="s">
        <v>286</v>
      </c>
      <c r="K47" s="227">
        <f>INDEX('Green Building'!$I$6:$M$10,MATCH('Model Controls'!K46,'Green Building'!$H$6:$H$10,0),MATCH('Model Controls'!$E$2,'Green Building'!$I$5:$M$5,0))</f>
        <v>0</v>
      </c>
      <c r="O47" s="192"/>
    </row>
    <row r="48" spans="4:15" ht="41.4" x14ac:dyDescent="0.25">
      <c r="D48" s="224" t="s">
        <v>280</v>
      </c>
      <c r="E48" s="220" t="s">
        <v>287</v>
      </c>
      <c r="G48" s="224" t="s">
        <v>280</v>
      </c>
      <c r="H48" s="220" t="s">
        <v>287</v>
      </c>
      <c r="J48" s="224" t="s">
        <v>280</v>
      </c>
      <c r="K48" s="220" t="s">
        <v>287</v>
      </c>
      <c r="M48" s="130"/>
      <c r="O48" s="162"/>
    </row>
    <row r="49" spans="7:14" x14ac:dyDescent="0.25">
      <c r="H49" s="220"/>
      <c r="K49" s="220"/>
      <c r="L49" s="130"/>
    </row>
    <row r="50" spans="7:14" ht="17.399999999999999" x14ac:dyDescent="0.3">
      <c r="G50" s="328"/>
      <c r="H50" s="130"/>
      <c r="J50" s="161" t="s">
        <v>288</v>
      </c>
      <c r="M50" s="196" t="s">
        <v>289</v>
      </c>
      <c r="N50" s="124"/>
    </row>
    <row r="51" spans="7:14" x14ac:dyDescent="0.25">
      <c r="G51" s="329"/>
      <c r="H51" s="130"/>
      <c r="J51" s="196" t="s">
        <v>230</v>
      </c>
      <c r="M51" s="196" t="s">
        <v>290</v>
      </c>
      <c r="N51" s="196" t="s">
        <v>291</v>
      </c>
    </row>
    <row r="52" spans="7:14" x14ac:dyDescent="0.25">
      <c r="G52" s="329"/>
      <c r="H52" s="130"/>
      <c r="J52" s="124" t="s">
        <v>292</v>
      </c>
      <c r="K52" s="222">
        <f>N52</f>
        <v>0.15</v>
      </c>
      <c r="M52" s="461">
        <f>IFERROR(INDEX('Lookup Lists'!$S$2:$S$6,MATCH('Model Controls'!$E$2,'Lookup Lists'!$R$2:$R$6,0)),0)</f>
        <v>0.15</v>
      </c>
      <c r="N52" s="462">
        <v>0.15</v>
      </c>
    </row>
    <row r="53" spans="7:14" x14ac:dyDescent="0.25">
      <c r="G53" s="329"/>
      <c r="H53" s="130"/>
      <c r="J53" s="124" t="s">
        <v>231</v>
      </c>
      <c r="K53" s="258">
        <f>IFERROR(MROUND(K52*$K$14,1),"n/a")</f>
        <v>32</v>
      </c>
      <c r="M53" s="124"/>
      <c r="N53" s="124"/>
    </row>
    <row r="54" spans="7:14" x14ac:dyDescent="0.25">
      <c r="G54" s="130"/>
      <c r="H54" s="233"/>
      <c r="J54" s="124" t="s">
        <v>293</v>
      </c>
      <c r="K54" s="258">
        <f>IFERROR($K$53*INDEX('Prototype Inputs'!$C$167:$G$167,MATCH('Model Controls'!$E$2,'Prototype Inputs'!$C$136:$G$136,0)),"n/a")</f>
        <v>25411.764705882353</v>
      </c>
      <c r="M54" s="124"/>
      <c r="N54" s="124"/>
    </row>
    <row r="55" spans="7:14" x14ac:dyDescent="0.25">
      <c r="G55" s="130"/>
      <c r="H55" s="233"/>
      <c r="J55" s="124" t="s">
        <v>102</v>
      </c>
      <c r="K55" s="56">
        <v>0.8</v>
      </c>
      <c r="M55" s="124"/>
      <c r="N55" s="124"/>
    </row>
    <row r="56" spans="7:14" x14ac:dyDescent="0.25">
      <c r="G56" s="130"/>
      <c r="H56" s="330"/>
      <c r="J56" s="124" t="s">
        <v>294</v>
      </c>
      <c r="K56" s="258">
        <f>IFERROR($K$54*INDEX('Amenity Bonus Controls'!$E$8:$E$10,MATCH('Model Controls'!$K$55,'Amenity Bonus Controls'!$D$8:$D$10,0)),"n/a")</f>
        <v>63529.411764705881</v>
      </c>
      <c r="M56" s="124"/>
      <c r="N56" s="124"/>
    </row>
    <row r="57" spans="7:14" ht="17.399999999999999" x14ac:dyDescent="0.3">
      <c r="G57" s="328"/>
      <c r="H57" s="130"/>
      <c r="J57" s="161"/>
      <c r="M57" s="196" t="s">
        <v>289</v>
      </c>
      <c r="N57" s="124"/>
    </row>
    <row r="58" spans="7:14" x14ac:dyDescent="0.25">
      <c r="G58" s="329"/>
      <c r="H58" s="130"/>
      <c r="J58" s="83" t="s">
        <v>275</v>
      </c>
      <c r="M58" s="196" t="s">
        <v>290</v>
      </c>
      <c r="N58" s="196" t="s">
        <v>291</v>
      </c>
    </row>
    <row r="59" spans="7:14" x14ac:dyDescent="0.25">
      <c r="G59" s="130"/>
      <c r="H59" s="331"/>
      <c r="J59" s="124" t="s">
        <v>276</v>
      </c>
      <c r="K59" s="222">
        <f>N59</f>
        <v>0</v>
      </c>
      <c r="M59" s="461">
        <f>IFERROR(INDEX('Lookup Lists'!$T$2:$T$6,MATCH($E$2,'Lookup Lists'!$R$2:$R$6,0)),0)</f>
        <v>0.37</v>
      </c>
      <c r="N59" s="462">
        <v>0</v>
      </c>
    </row>
    <row r="60" spans="7:14" x14ac:dyDescent="0.25">
      <c r="G60" s="130"/>
      <c r="H60" s="331"/>
      <c r="J60" s="124" t="s">
        <v>277</v>
      </c>
      <c r="K60" s="405">
        <f>IFERROR(MROUND(K59*$K$14,1),"n/a")</f>
        <v>0</v>
      </c>
      <c r="N60" s="99"/>
    </row>
    <row r="61" spans="7:14" x14ac:dyDescent="0.25">
      <c r="G61" s="130"/>
      <c r="H61" s="232"/>
      <c r="J61" s="78" t="s">
        <v>278</v>
      </c>
      <c r="K61" s="336">
        <f>IF(OR($E$2='Lookup Lists'!$B$5,$E$2='Lookup Lists'!$B$6),'Model Controls'!K59*'Model Controls'!$K$10,$K$60*INDEX('Prototype Inputs'!$C$167:$G$167,MATCH('Model Controls'!$E$2,'Prototype Inputs'!$C$136:$G$136,0)))</f>
        <v>0</v>
      </c>
      <c r="N61" s="99"/>
    </row>
    <row r="62" spans="7:14" x14ac:dyDescent="0.25">
      <c r="J62" s="124" t="s">
        <v>279</v>
      </c>
      <c r="K62" s="580">
        <f>K34</f>
        <v>28.07</v>
      </c>
    </row>
    <row r="63" spans="7:14" x14ac:dyDescent="0.25">
      <c r="J63" s="124" t="s">
        <v>233</v>
      </c>
      <c r="K63" s="237">
        <f>K62*K61</f>
        <v>0</v>
      </c>
    </row>
    <row r="64" spans="7:14" x14ac:dyDescent="0.25">
      <c r="J64" s="124" t="s">
        <v>294</v>
      </c>
      <c r="K64" s="143">
        <f>K61*'Amenity Bonus Controls'!$E$13</f>
        <v>0</v>
      </c>
    </row>
    <row r="66" spans="7:11" x14ac:dyDescent="0.25">
      <c r="G66" s="329"/>
      <c r="H66" s="130"/>
      <c r="J66" s="83" t="s">
        <v>55</v>
      </c>
    </row>
    <row r="67" spans="7:11" x14ac:dyDescent="0.25">
      <c r="G67" s="130"/>
      <c r="H67" s="235"/>
      <c r="J67" s="78" t="s">
        <v>295</v>
      </c>
      <c r="K67" s="57">
        <v>0</v>
      </c>
    </row>
    <row r="68" spans="7:11" x14ac:dyDescent="0.25">
      <c r="G68" s="130"/>
      <c r="H68" s="235"/>
      <c r="J68" s="78" t="s">
        <v>231</v>
      </c>
      <c r="K68" s="337">
        <f>IFERROR(MROUND(K67*$K$14,1),"n/a")</f>
        <v>0</v>
      </c>
    </row>
    <row r="69" spans="7:11" x14ac:dyDescent="0.25">
      <c r="G69" s="130"/>
      <c r="H69" s="235"/>
      <c r="J69" s="78" t="s">
        <v>296</v>
      </c>
      <c r="K69" s="258">
        <f>IFERROR(K68*INDEX('Prototype Inputs'!$C$167:$G$167,MATCH('Model Controls'!$E$2,'Prototype Inputs'!$C$136:$G$136,0)),"n/a")</f>
        <v>0</v>
      </c>
    </row>
    <row r="70" spans="7:11" ht="13.95" customHeight="1" x14ac:dyDescent="0.25">
      <c r="G70" s="130"/>
      <c r="H70" s="232"/>
      <c r="J70" s="124" t="s">
        <v>294</v>
      </c>
      <c r="K70" s="229">
        <f>IF(OR($E$2='Lookup Lists'!$B$5,$E$2='Lookup Lists'!$B$6),0,(K$69*'Amenity Bonus Controls'!$E$4))</f>
        <v>0</v>
      </c>
    </row>
    <row r="71" spans="7:11" x14ac:dyDescent="0.25">
      <c r="G71" s="130"/>
      <c r="H71" s="232"/>
      <c r="J71" s="78" t="s">
        <v>297</v>
      </c>
      <c r="K71" s="458" t="str">
        <f>IF(SUM(INDEX('Prototype Controls'!$M$27:$Q$30,0,MATCH('Model Controls'!$E$2,'Prototype Controls'!$M$5:$Q$5,0)))&gt;1,"Adjust unit mix on Prototype Controls Tab","")</f>
        <v/>
      </c>
    </row>
    <row r="73" spans="7:11" x14ac:dyDescent="0.25">
      <c r="G73" s="329"/>
      <c r="H73" s="333"/>
      <c r="J73" s="83" t="s">
        <v>108</v>
      </c>
    </row>
    <row r="74" spans="7:11" x14ac:dyDescent="0.25">
      <c r="G74" s="130"/>
      <c r="H74" s="235"/>
      <c r="J74" s="78" t="s">
        <v>284</v>
      </c>
      <c r="K74" s="200" t="s">
        <v>285</v>
      </c>
    </row>
    <row r="75" spans="7:11" x14ac:dyDescent="0.25">
      <c r="G75" s="130"/>
      <c r="H75" s="234"/>
      <c r="J75" s="78" t="s">
        <v>286</v>
      </c>
      <c r="K75" s="227">
        <f>INDEX('Green Building'!$I$6:$M$10,MATCH('Model Controls'!K74,'Green Building'!$H$6:$H$10,0),MATCH('Model Controls'!$E$2,'Green Building'!$I$5:$M$5,0))</f>
        <v>0</v>
      </c>
    </row>
    <row r="76" spans="7:11" x14ac:dyDescent="0.25">
      <c r="G76" s="130"/>
      <c r="H76" s="232"/>
      <c r="J76" s="124" t="s">
        <v>294</v>
      </c>
      <c r="K76" s="229">
        <f>IFERROR(INDEX('Amenity Bonus Controls'!$E$16:$E$17,MATCH('Model Controls'!$K$74,'Amenity Bonus Controls'!$D$16:$D$17,0)),0)*$K$11</f>
        <v>0</v>
      </c>
    </row>
    <row r="77" spans="7:11" ht="69" x14ac:dyDescent="0.25">
      <c r="G77" s="332"/>
      <c r="H77" s="333"/>
      <c r="J77" s="224" t="s">
        <v>280</v>
      </c>
      <c r="K77" s="220" t="s">
        <v>298</v>
      </c>
    </row>
    <row r="78" spans="7:11" x14ac:dyDescent="0.25">
      <c r="G78" s="130"/>
      <c r="H78" s="333"/>
      <c r="K78" s="220"/>
    </row>
    <row r="79" spans="7:11" x14ac:dyDescent="0.25">
      <c r="G79" s="329"/>
      <c r="H79" s="130"/>
      <c r="J79" s="83" t="s">
        <v>114</v>
      </c>
    </row>
    <row r="80" spans="7:11" x14ac:dyDescent="0.25">
      <c r="G80" s="130"/>
      <c r="H80" s="235"/>
      <c r="J80" s="78" t="s">
        <v>299</v>
      </c>
      <c r="K80" s="57">
        <v>0</v>
      </c>
    </row>
    <row r="81" spans="7:11" x14ac:dyDescent="0.25">
      <c r="G81" s="130"/>
      <c r="H81" s="232"/>
      <c r="J81" s="78" t="s">
        <v>300</v>
      </c>
      <c r="K81" s="229">
        <f>K80*(INDEX('Prototype Inputs'!$C$147:$G$147,MATCH('Model Controls'!$E$2,'Prototype Inputs'!$C$136:$G$136,0))/INDEX('Prototype Inputs'!$C$143:$G$143,MATCH('Model Controls'!$E$2,'Prototype Inputs'!$C$136:$G$136,0)))</f>
        <v>0</v>
      </c>
    </row>
    <row r="82" spans="7:11" x14ac:dyDescent="0.25">
      <c r="G82" s="130"/>
      <c r="H82" s="232"/>
      <c r="J82" s="124" t="s">
        <v>294</v>
      </c>
      <c r="K82" s="229">
        <f>K81*'Amenity Bonus Controls'!$E$20</f>
        <v>0</v>
      </c>
    </row>
    <row r="83" spans="7:11" x14ac:dyDescent="0.25">
      <c r="G83" s="130"/>
      <c r="H83" s="130"/>
    </row>
    <row r="84" spans="7:11" x14ac:dyDescent="0.25">
      <c r="G84" s="329"/>
      <c r="H84" s="130"/>
      <c r="J84" s="83" t="s">
        <v>116</v>
      </c>
    </row>
    <row r="85" spans="7:11" x14ac:dyDescent="0.25">
      <c r="G85" s="130"/>
      <c r="H85" s="235"/>
      <c r="J85" s="78" t="s">
        <v>301</v>
      </c>
      <c r="K85" s="57">
        <v>0</v>
      </c>
    </row>
    <row r="86" spans="7:11" x14ac:dyDescent="0.25">
      <c r="G86" s="130"/>
      <c r="H86" s="232"/>
      <c r="J86" s="78" t="s">
        <v>302</v>
      </c>
      <c r="K86" s="229">
        <f>K85*$K$11</f>
        <v>0</v>
      </c>
    </row>
    <row r="87" spans="7:11" x14ac:dyDescent="0.25">
      <c r="G87" s="130"/>
      <c r="H87" s="232"/>
      <c r="J87" s="124" t="s">
        <v>294</v>
      </c>
      <c r="K87" s="229">
        <f>K86*'Amenity Bonus Controls'!$E$23</f>
        <v>0</v>
      </c>
    </row>
    <row r="88" spans="7:11" x14ac:dyDescent="0.25">
      <c r="G88" s="130"/>
      <c r="H88" s="232"/>
      <c r="J88" s="78" t="s">
        <v>283</v>
      </c>
      <c r="K88" s="151">
        <f>1-(INDEX('Prototype Inputs'!$C$139:$G$139,MATCH('Model Controls'!$E$2,'Prototype Inputs'!$C$136:$G$136,0))+INDEX('Prototype Inputs'!$C$138:$G$138,MATCH('Model Controls'!$E$2,'Prototype Inputs'!$C$136:$G$136,0)))</f>
        <v>0.35</v>
      </c>
    </row>
    <row r="89" spans="7:11" x14ac:dyDescent="0.25">
      <c r="G89" s="130"/>
      <c r="H89" s="235"/>
      <c r="K89" s="129" t="str">
        <f>IF(K88&lt;0,"Open Space Too High","")</f>
        <v/>
      </c>
    </row>
    <row r="90" spans="7:11" x14ac:dyDescent="0.25">
      <c r="G90" s="329"/>
      <c r="H90" s="130"/>
      <c r="J90" s="196" t="s">
        <v>118</v>
      </c>
      <c r="K90" s="124"/>
    </row>
    <row r="91" spans="7:11" x14ac:dyDescent="0.25">
      <c r="G91" s="130"/>
      <c r="H91" s="334"/>
      <c r="J91" s="124" t="s">
        <v>303</v>
      </c>
      <c r="K91" s="416">
        <v>0</v>
      </c>
    </row>
    <row r="92" spans="7:11" x14ac:dyDescent="0.25">
      <c r="G92" s="130"/>
      <c r="H92" s="232"/>
      <c r="J92" s="124" t="s">
        <v>294</v>
      </c>
      <c r="K92" s="258">
        <f>K91*('Amenity Bonus Controls'!$E$26/1000)</f>
        <v>0</v>
      </c>
    </row>
    <row r="93" spans="7:11" x14ac:dyDescent="0.25">
      <c r="G93" s="130"/>
      <c r="H93" s="130"/>
      <c r="J93" s="124"/>
      <c r="K93" s="417"/>
    </row>
    <row r="94" spans="7:11" x14ac:dyDescent="0.25">
      <c r="G94" s="329"/>
      <c r="H94" s="130"/>
      <c r="J94" s="196" t="s">
        <v>120</v>
      </c>
      <c r="K94" s="124"/>
    </row>
    <row r="95" spans="7:11" x14ac:dyDescent="0.25">
      <c r="G95" s="130"/>
      <c r="H95" s="334"/>
      <c r="J95" s="124" t="s">
        <v>303</v>
      </c>
      <c r="K95" s="416">
        <v>0</v>
      </c>
    </row>
    <row r="96" spans="7:11" x14ac:dyDescent="0.25">
      <c r="G96" s="130"/>
      <c r="H96" s="232"/>
      <c r="J96" s="124" t="s">
        <v>294</v>
      </c>
      <c r="K96" s="258">
        <f>K95*('Amenity Bonus Controls'!$E$29/1000)</f>
        <v>0</v>
      </c>
    </row>
    <row r="97" spans="7:11" x14ac:dyDescent="0.25">
      <c r="G97" s="130"/>
      <c r="H97" s="235"/>
      <c r="J97" s="124"/>
      <c r="K97" s="417"/>
    </row>
    <row r="98" spans="7:11" x14ac:dyDescent="0.25">
      <c r="G98" s="329"/>
      <c r="H98" s="130"/>
      <c r="J98" s="196" t="s">
        <v>121</v>
      </c>
      <c r="K98" s="124"/>
    </row>
    <row r="99" spans="7:11" x14ac:dyDescent="0.25">
      <c r="G99" s="130"/>
      <c r="H99" s="334"/>
      <c r="J99" s="124" t="s">
        <v>303</v>
      </c>
      <c r="K99" s="416">
        <v>0</v>
      </c>
    </row>
    <row r="100" spans="7:11" x14ac:dyDescent="0.25">
      <c r="G100" s="130"/>
      <c r="H100" s="232"/>
      <c r="J100" s="124" t="s">
        <v>294</v>
      </c>
      <c r="K100" s="258">
        <f>K99*('Amenity Bonus Controls'!$E$32/1000)</f>
        <v>0</v>
      </c>
    </row>
    <row r="102" spans="7:11" x14ac:dyDescent="0.25">
      <c r="G102" s="83" t="s">
        <v>297</v>
      </c>
    </row>
    <row r="103" spans="7:11" x14ac:dyDescent="0.25">
      <c r="G103" s="78" t="s">
        <v>615</v>
      </c>
    </row>
    <row r="104" spans="7:11" x14ac:dyDescent="0.25">
      <c r="G104" s="78" t="s">
        <v>616</v>
      </c>
    </row>
  </sheetData>
  <mergeCells count="4">
    <mergeCell ref="O7:P7"/>
    <mergeCell ref="N13:P13"/>
    <mergeCell ref="N12:P12"/>
    <mergeCell ref="O15:P15"/>
  </mergeCells>
  <conditionalFormatting sqref="E43">
    <cfRule type="cellIs" dxfId="11" priority="10" operator="greaterThan">
      <formula>$K$19</formula>
    </cfRule>
    <cfRule type="cellIs" dxfId="10" priority="11" operator="lessThan">
      <formula>0</formula>
    </cfRule>
  </conditionalFormatting>
  <conditionalFormatting sqref="H43">
    <cfRule type="cellIs" dxfId="9" priority="6" operator="greaterThan">
      <formula>$K$19</formula>
    </cfRule>
    <cfRule type="cellIs" dxfId="8" priority="7" operator="lessThan">
      <formula>0</formula>
    </cfRule>
  </conditionalFormatting>
  <conditionalFormatting sqref="K20">
    <cfRule type="cellIs" dxfId="7" priority="13" operator="greaterThan">
      <formula>$K$19</formula>
    </cfRule>
    <cfRule type="cellIs" dxfId="6" priority="14" operator="lessThan">
      <formula>$K$19</formula>
    </cfRule>
  </conditionalFormatting>
  <conditionalFormatting sqref="K43">
    <cfRule type="cellIs" dxfId="5" priority="4" operator="greaterThan">
      <formula>$K$19</formula>
    </cfRule>
    <cfRule type="cellIs" dxfId="4" priority="5" operator="lessThan">
      <formula>0</formula>
    </cfRule>
  </conditionalFormatting>
  <conditionalFormatting sqref="K88">
    <cfRule type="cellIs" dxfId="3" priority="2" operator="greaterThan">
      <formula>$K$19</formula>
    </cfRule>
    <cfRule type="cellIs" dxfId="2" priority="3" operator="lessThan">
      <formula>0</formula>
    </cfRule>
  </conditionalFormatting>
  <conditionalFormatting sqref="N12:N13 N19:O20 N23:O26">
    <cfRule type="cellIs" dxfId="1" priority="15" operator="greaterThan">
      <formula>0</formula>
    </cfRule>
  </conditionalFormatting>
  <conditionalFormatting sqref="N12:P13">
    <cfRule type="cellIs" dxfId="0" priority="1" operator="less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13D29B57-343D-4A09-8467-84907C7F4B37}">
          <x14:formula1>
            <xm:f>'Lookup Lists'!$G$2:$G$5</xm:f>
          </x14:formula1>
          <xm:sqref>E31 H31 K55 E26:E27 H27</xm:sqref>
        </x14:dataValidation>
        <x14:dataValidation type="list" allowBlank="1" showInputMessage="1" showErrorMessage="1" xr:uid="{78AB3C0C-6A77-4595-BB2F-C29C5F5333AC}">
          <x14:formula1>
            <xm:f>'Lookup Lists'!$E$2:$E$5</xm:f>
          </x14:formula1>
          <xm:sqref>H54</xm:sqref>
        </x14:dataValidation>
        <x14:dataValidation type="list" allowBlank="1" showInputMessage="1" showErrorMessage="1" xr:uid="{72FAFE6E-40F1-4563-984B-AD8C7AFD0BE7}">
          <x14:formula1>
            <xm:f>'Lookup Lists'!$I$2:$I$6</xm:f>
          </x14:formula1>
          <xm:sqref>H74 K74 H46 K46 E46</xm:sqref>
        </x14:dataValidation>
        <x14:dataValidation type="list" allowBlank="1" showInputMessage="1" showErrorMessage="1" xr:uid="{35C4BC27-F52A-4ACA-8959-DA2111E1F619}">
          <x14:formula1>
            <xm:f>'Lookup Lists'!$F$2:$F$7</xm:f>
          </x14:formula1>
          <xm:sqref>K31 H26</xm:sqref>
        </x14:dataValidation>
        <x14:dataValidation type="list" allowBlank="1" showInputMessage="1" showErrorMessage="1" xr:uid="{6002C516-34E0-4014-B795-2F80107D19BF}">
          <x14:formula1>
            <xm:f>'Lookup Lists'!$B$2:$B$6</xm:f>
          </x14:formula1>
          <xm:sqref>E2</xm:sqref>
        </x14:dataValidation>
        <x14:dataValidation type="list" allowBlank="1" showInputMessage="1" showErrorMessage="1" xr:uid="{3B47ADE5-A86A-42DD-9E97-7057339DBFBB}">
          <x14:formula1>
            <xm:f>'Lookup Lists'!$W$1:$W$2</xm:f>
          </x14:formula1>
          <xm:sqref>E3:E5</xm:sqref>
        </x14:dataValidation>
        <x14:dataValidation type="list" allowBlank="1" showInputMessage="1" showErrorMessage="1" xr:uid="{BF7A6990-5833-4479-8367-347530B41CD5}">
          <x14:formula1>
            <xm:f>'Lookup Lists'!$D$3:$D$6</xm:f>
          </x14:formula1>
          <xm:sqref>H26 E31 E26 H31</xm:sqref>
        </x14:dataValidation>
        <x14:dataValidation type="list" allowBlank="1" showInputMessage="1" showErrorMessage="1" xr:uid="{5A0DF9D9-3211-4AD1-A119-342222A17C60}">
          <x14:formula1>
            <xm:f>'Lookup Lists'!$X$1:$X$3</xm:f>
          </x14:formula1>
          <xm:sqref>F4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16E70-0DA0-4BFC-8FDD-13EFDA7EF63F}">
  <sheetPr codeName="Sheet10">
    <tabColor theme="6"/>
  </sheetPr>
  <dimension ref="B1:F32"/>
  <sheetViews>
    <sheetView workbookViewId="0">
      <selection activeCell="M24" sqref="M24"/>
    </sheetView>
  </sheetViews>
  <sheetFormatPr defaultColWidth="8.69921875" defaultRowHeight="13.8" x14ac:dyDescent="0.25"/>
  <cols>
    <col min="1" max="1" width="5" style="133" customWidth="1"/>
    <col min="2" max="2" width="27.09765625" style="133" bestFit="1" customWidth="1"/>
    <col min="3" max="3" width="2" style="133" customWidth="1"/>
    <col min="4" max="4" width="37.5" style="133" bestFit="1" customWidth="1"/>
    <col min="5" max="5" width="8.69921875" style="133"/>
    <col min="6" max="6" width="37.09765625" style="133" bestFit="1" customWidth="1"/>
    <col min="7" max="16384" width="8.69921875" style="133"/>
  </cols>
  <sheetData>
    <row r="1" spans="2:6" x14ac:dyDescent="0.25">
      <c r="C1" s="159"/>
    </row>
    <row r="2" spans="2:6" x14ac:dyDescent="0.25">
      <c r="B2" s="159" t="s">
        <v>246</v>
      </c>
      <c r="C2" s="78"/>
    </row>
    <row r="3" spans="2:6" x14ac:dyDescent="0.25">
      <c r="B3" s="50" t="s">
        <v>95</v>
      </c>
      <c r="C3" s="78"/>
      <c r="D3" s="153" t="s">
        <v>55</v>
      </c>
      <c r="E3" s="153" t="s">
        <v>215</v>
      </c>
      <c r="F3" s="153" t="s">
        <v>145</v>
      </c>
    </row>
    <row r="4" spans="2:6" x14ac:dyDescent="0.25">
      <c r="B4" s="62" t="s">
        <v>601</v>
      </c>
      <c r="C4" s="78"/>
      <c r="D4" s="133" t="s">
        <v>618</v>
      </c>
      <c r="E4" s="50">
        <v>50</v>
      </c>
      <c r="F4" s="133" t="s">
        <v>617</v>
      </c>
    </row>
    <row r="5" spans="2:6" x14ac:dyDescent="0.25">
      <c r="B5" s="137" t="s">
        <v>252</v>
      </c>
      <c r="E5" s="403"/>
    </row>
    <row r="6" spans="2:6" x14ac:dyDescent="0.25">
      <c r="D6" s="153" t="s">
        <v>230</v>
      </c>
      <c r="E6" s="403"/>
    </row>
    <row r="7" spans="2:6" x14ac:dyDescent="0.25">
      <c r="D7" s="133" t="s">
        <v>304</v>
      </c>
    </row>
    <row r="8" spans="2:6" x14ac:dyDescent="0.25">
      <c r="D8" s="154">
        <v>0.8</v>
      </c>
      <c r="E8" s="404">
        <v>2.5</v>
      </c>
      <c r="F8" s="133" t="s">
        <v>305</v>
      </c>
    </row>
    <row r="9" spans="2:6" x14ac:dyDescent="0.25">
      <c r="D9" s="154">
        <v>0.6</v>
      </c>
      <c r="E9" s="404">
        <f>E8*1.25</f>
        <v>3.125</v>
      </c>
      <c r="F9" s="133" t="s">
        <v>305</v>
      </c>
    </row>
    <row r="10" spans="2:6" x14ac:dyDescent="0.25">
      <c r="D10" s="154">
        <v>0.5</v>
      </c>
      <c r="E10" s="404">
        <f>E8*1.5</f>
        <v>3.75</v>
      </c>
      <c r="F10" s="133" t="s">
        <v>305</v>
      </c>
    </row>
    <row r="11" spans="2:6" x14ac:dyDescent="0.25">
      <c r="E11" s="403"/>
    </row>
    <row r="12" spans="2:6" x14ac:dyDescent="0.25">
      <c r="D12" s="153" t="s">
        <v>104</v>
      </c>
      <c r="E12" s="403"/>
    </row>
    <row r="13" spans="2:6" x14ac:dyDescent="0.25">
      <c r="D13" s="133" t="s">
        <v>279</v>
      </c>
      <c r="E13" s="50">
        <v>1</v>
      </c>
      <c r="F13" s="133" t="s">
        <v>306</v>
      </c>
    </row>
    <row r="14" spans="2:6" x14ac:dyDescent="0.25">
      <c r="E14" s="403"/>
    </row>
    <row r="15" spans="2:6" x14ac:dyDescent="0.25">
      <c r="D15" s="153" t="s">
        <v>108</v>
      </c>
      <c r="E15" s="403"/>
    </row>
    <row r="16" spans="2:6" x14ac:dyDescent="0.25">
      <c r="D16" s="133" t="s">
        <v>307</v>
      </c>
      <c r="E16" s="463">
        <v>0.33</v>
      </c>
      <c r="F16" s="133" t="s">
        <v>213</v>
      </c>
    </row>
    <row r="17" spans="4:6" x14ac:dyDescent="0.25">
      <c r="D17" s="133" t="s">
        <v>308</v>
      </c>
      <c r="E17" s="463">
        <v>0.13</v>
      </c>
      <c r="F17" s="133" t="s">
        <v>213</v>
      </c>
    </row>
    <row r="18" spans="4:6" x14ac:dyDescent="0.25">
      <c r="E18" s="403"/>
    </row>
    <row r="19" spans="4:6" x14ac:dyDescent="0.25">
      <c r="D19" s="153" t="s">
        <v>114</v>
      </c>
      <c r="E19" s="403"/>
    </row>
    <row r="20" spans="4:6" x14ac:dyDescent="0.25">
      <c r="D20" s="133" t="s">
        <v>299</v>
      </c>
      <c r="E20" s="50">
        <v>13.7</v>
      </c>
      <c r="F20" s="133" t="s">
        <v>309</v>
      </c>
    </row>
    <row r="21" spans="4:6" x14ac:dyDescent="0.25">
      <c r="E21" s="403"/>
    </row>
    <row r="22" spans="4:6" x14ac:dyDescent="0.25">
      <c r="D22" s="153" t="s">
        <v>116</v>
      </c>
      <c r="E22" s="403"/>
    </row>
    <row r="23" spans="4:6" x14ac:dyDescent="0.25">
      <c r="D23" s="133" t="s">
        <v>301</v>
      </c>
      <c r="E23" s="50">
        <v>2.2999999999999998</v>
      </c>
      <c r="F23" s="133" t="s">
        <v>310</v>
      </c>
    </row>
    <row r="24" spans="4:6" x14ac:dyDescent="0.25">
      <c r="E24" s="403"/>
    </row>
    <row r="25" spans="4:6" x14ac:dyDescent="0.25">
      <c r="D25" s="412" t="s">
        <v>118</v>
      </c>
      <c r="E25" s="413"/>
      <c r="F25" s="414"/>
    </row>
    <row r="26" spans="4:6" x14ac:dyDescent="0.25">
      <c r="D26" s="414" t="s">
        <v>303</v>
      </c>
      <c r="E26" s="415">
        <v>66.7</v>
      </c>
      <c r="F26" s="414" t="s">
        <v>311</v>
      </c>
    </row>
    <row r="27" spans="4:6" x14ac:dyDescent="0.25">
      <c r="D27" s="414"/>
      <c r="E27" s="413"/>
      <c r="F27" s="414"/>
    </row>
    <row r="28" spans="4:6" x14ac:dyDescent="0.25">
      <c r="D28" s="412" t="s">
        <v>120</v>
      </c>
      <c r="E28" s="413"/>
      <c r="F28" s="414"/>
    </row>
    <row r="29" spans="4:6" x14ac:dyDescent="0.25">
      <c r="D29" s="414" t="s">
        <v>303</v>
      </c>
      <c r="E29" s="415">
        <v>66.7</v>
      </c>
      <c r="F29" s="414" t="s">
        <v>311</v>
      </c>
    </row>
    <row r="30" spans="4:6" x14ac:dyDescent="0.25">
      <c r="D30" s="414"/>
      <c r="E30" s="413"/>
      <c r="F30" s="414"/>
    </row>
    <row r="31" spans="4:6" x14ac:dyDescent="0.25">
      <c r="D31" s="412" t="s">
        <v>121</v>
      </c>
      <c r="E31" s="413"/>
      <c r="F31" s="414"/>
    </row>
    <row r="32" spans="4:6" x14ac:dyDescent="0.25">
      <c r="D32" s="414" t="s">
        <v>303</v>
      </c>
      <c r="E32" s="415">
        <v>66.7</v>
      </c>
      <c r="F32" s="414" t="s">
        <v>311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800C-D5AA-4CDD-9418-8C75939E2773}">
  <sheetPr codeName="Sheet22">
    <tabColor theme="6"/>
  </sheetPr>
  <dimension ref="B1:R83"/>
  <sheetViews>
    <sheetView topLeftCell="D1" workbookViewId="0">
      <selection activeCell="J67" sqref="J67"/>
    </sheetView>
  </sheetViews>
  <sheetFormatPr defaultColWidth="8.69921875" defaultRowHeight="13.8" x14ac:dyDescent="0.25"/>
  <cols>
    <col min="1" max="1" width="2.8984375" style="133" customWidth="1"/>
    <col min="2" max="2" width="27.09765625" style="133" bestFit="1" customWidth="1"/>
    <col min="3" max="3" width="1.69921875" style="133" customWidth="1"/>
    <col min="4" max="4" width="29.19921875" style="133" bestFit="1" customWidth="1"/>
    <col min="5" max="5" width="11.59765625" style="133" bestFit="1" customWidth="1"/>
    <col min="6" max="6" width="20.59765625" style="133" customWidth="1"/>
    <col min="7" max="7" width="14.09765625" style="133" customWidth="1"/>
    <col min="8" max="8" width="14.19921875" style="133" customWidth="1"/>
    <col min="9" max="9" width="16.8984375" style="133" customWidth="1"/>
    <col min="10" max="10" width="17.09765625" style="133" bestFit="1" customWidth="1"/>
    <col min="11" max="11" width="5.09765625" style="133" customWidth="1"/>
    <col min="12" max="12" width="29.19921875" style="133" bestFit="1" customWidth="1"/>
    <col min="13" max="13" width="10.19921875" style="133" bestFit="1" customWidth="1"/>
    <col min="14" max="14" width="19.09765625" style="133" customWidth="1"/>
    <col min="15" max="15" width="10.19921875" style="133" bestFit="1" customWidth="1"/>
    <col min="16" max="16" width="14.69921875" style="133" customWidth="1"/>
    <col min="17" max="17" width="14.59765625" style="133" customWidth="1"/>
    <col min="18" max="18" width="17.09765625" style="133" bestFit="1" customWidth="1"/>
    <col min="19" max="16384" width="8.69921875" style="133"/>
  </cols>
  <sheetData>
    <row r="1" spans="2:18" x14ac:dyDescent="0.25">
      <c r="C1" s="159"/>
    </row>
    <row r="2" spans="2:18" ht="18" thickBot="1" x14ac:dyDescent="0.35">
      <c r="B2" s="159" t="s">
        <v>246</v>
      </c>
      <c r="D2" s="470" t="s">
        <v>139</v>
      </c>
      <c r="L2" s="470" t="s">
        <v>142</v>
      </c>
    </row>
    <row r="3" spans="2:18" x14ac:dyDescent="0.25">
      <c r="B3" s="50" t="s">
        <v>95</v>
      </c>
      <c r="D3" s="387" t="s">
        <v>10</v>
      </c>
      <c r="E3" s="245" t="s">
        <v>186</v>
      </c>
      <c r="F3" s="245" t="s">
        <v>187</v>
      </c>
      <c r="G3" s="245" t="s">
        <v>188</v>
      </c>
      <c r="H3" s="245" t="s">
        <v>189</v>
      </c>
      <c r="I3" s="245" t="s">
        <v>190</v>
      </c>
      <c r="J3" s="245" t="s">
        <v>145</v>
      </c>
      <c r="K3" s="460"/>
      <c r="L3" s="387" t="s">
        <v>10</v>
      </c>
      <c r="M3" s="245" t="s">
        <v>186</v>
      </c>
      <c r="N3" s="245" t="s">
        <v>187</v>
      </c>
      <c r="O3" s="245" t="s">
        <v>188</v>
      </c>
      <c r="P3" s="245" t="s">
        <v>189</v>
      </c>
      <c r="Q3" s="245" t="s">
        <v>190</v>
      </c>
      <c r="R3" s="245" t="s">
        <v>145</v>
      </c>
    </row>
    <row r="4" spans="2:18" x14ac:dyDescent="0.25">
      <c r="B4" s="62" t="s">
        <v>601</v>
      </c>
      <c r="D4" s="243" t="s">
        <v>191</v>
      </c>
      <c r="E4" s="432"/>
      <c r="F4" s="432"/>
      <c r="G4" s="432"/>
      <c r="H4" s="432"/>
      <c r="I4" s="432"/>
      <c r="J4" s="432"/>
      <c r="L4" s="243" t="s">
        <v>191</v>
      </c>
      <c r="M4" s="432"/>
      <c r="N4" s="432"/>
      <c r="O4" s="432"/>
      <c r="P4" s="432"/>
      <c r="Q4" s="432"/>
      <c r="R4" s="432"/>
    </row>
    <row r="5" spans="2:18" ht="27.6" x14ac:dyDescent="0.25">
      <c r="B5" s="471" t="s">
        <v>312</v>
      </c>
      <c r="D5" s="210" t="s">
        <v>313</v>
      </c>
      <c r="E5" s="561" t="s">
        <v>125</v>
      </c>
      <c r="F5" s="561" t="s">
        <v>126</v>
      </c>
      <c r="G5" s="561" t="s">
        <v>128</v>
      </c>
      <c r="H5" s="561" t="s">
        <v>130</v>
      </c>
      <c r="I5" s="562" t="s">
        <v>132</v>
      </c>
      <c r="J5" s="447" t="s">
        <v>314</v>
      </c>
      <c r="K5" s="447"/>
      <c r="L5" s="210" t="s">
        <v>313</v>
      </c>
      <c r="M5" s="430" t="str">
        <f>E5</f>
        <v>Urban Core</v>
      </c>
      <c r="N5" s="430" t="str">
        <f>F5</f>
        <v>Mixed-Use Residential Mid-rise</v>
      </c>
      <c r="O5" s="430" t="str">
        <f>G5</f>
        <v>Mixed-use High-rise</v>
      </c>
      <c r="P5" s="430" t="str">
        <f>H5</f>
        <v>Mixed-Use Office Mid-rise</v>
      </c>
      <c r="Q5" s="430" t="str">
        <f>I5</f>
        <v>Medical Office High-rise</v>
      </c>
      <c r="R5" s="447" t="s">
        <v>314</v>
      </c>
    </row>
    <row r="6" spans="2:18" x14ac:dyDescent="0.25">
      <c r="B6" s="468" t="s">
        <v>252</v>
      </c>
      <c r="D6" s="79" t="s">
        <v>315</v>
      </c>
      <c r="E6" s="135">
        <v>0.35</v>
      </c>
      <c r="F6" s="135">
        <v>0.35</v>
      </c>
      <c r="G6" s="135">
        <v>0.35</v>
      </c>
      <c r="H6" s="135">
        <v>0.35</v>
      </c>
      <c r="I6" s="135">
        <v>0.35</v>
      </c>
      <c r="L6" s="79" t="s">
        <v>315</v>
      </c>
      <c r="M6" s="149">
        <v>0.35</v>
      </c>
      <c r="N6" s="135">
        <v>0.55000000000000004</v>
      </c>
      <c r="O6" s="149">
        <v>0.35</v>
      </c>
      <c r="P6" s="135">
        <v>0.55000000000000004</v>
      </c>
      <c r="Q6" s="149">
        <v>0.35</v>
      </c>
    </row>
    <row r="7" spans="2:18" x14ac:dyDescent="0.25">
      <c r="D7" s="79" t="s">
        <v>193</v>
      </c>
      <c r="E7" s="345">
        <v>105000</v>
      </c>
      <c r="F7" s="345">
        <v>62000</v>
      </c>
      <c r="G7" s="345">
        <v>145000</v>
      </c>
      <c r="H7" s="345">
        <v>62000</v>
      </c>
      <c r="I7" s="346">
        <v>145000</v>
      </c>
      <c r="J7" s="133" t="s">
        <v>316</v>
      </c>
      <c r="L7" s="79" t="s">
        <v>193</v>
      </c>
      <c r="M7" s="403">
        <f>E7</f>
        <v>105000</v>
      </c>
      <c r="N7" s="403">
        <f>F7</f>
        <v>62000</v>
      </c>
      <c r="O7" s="403">
        <f>G7</f>
        <v>145000</v>
      </c>
      <c r="P7" s="403">
        <f>H7</f>
        <v>62000</v>
      </c>
      <c r="Q7" s="403">
        <f>I7</f>
        <v>145000</v>
      </c>
      <c r="R7" s="133" t="s">
        <v>316</v>
      </c>
    </row>
    <row r="8" spans="2:18" x14ac:dyDescent="0.25">
      <c r="D8" s="79" t="s">
        <v>194</v>
      </c>
      <c r="E8" s="433">
        <f>(E7*E6)*E17</f>
        <v>735000</v>
      </c>
      <c r="F8" s="433">
        <f>(F7*F6)*F17</f>
        <v>130200</v>
      </c>
      <c r="G8" s="433">
        <f>(G7*G6)*G17</f>
        <v>659750</v>
      </c>
      <c r="H8" s="433">
        <f>(H7*H6)*H17</f>
        <v>130200</v>
      </c>
      <c r="I8" s="433">
        <f>(I7*I6)*I17</f>
        <v>659750</v>
      </c>
      <c r="J8" s="133" t="s">
        <v>316</v>
      </c>
      <c r="L8" s="79" t="s">
        <v>194</v>
      </c>
      <c r="M8" s="103">
        <f>MROUND((M7*M6)*M17,1)</f>
        <v>1359750</v>
      </c>
      <c r="N8" s="103">
        <f t="shared" ref="N8:Q8" si="0">MROUND((N7*N6)*N17,1)</f>
        <v>204600</v>
      </c>
      <c r="O8" s="103">
        <f t="shared" si="0"/>
        <v>1015000</v>
      </c>
      <c r="P8" s="103">
        <f t="shared" si="0"/>
        <v>204600</v>
      </c>
      <c r="Q8" s="103">
        <f t="shared" si="0"/>
        <v>1015000</v>
      </c>
      <c r="R8" s="133" t="s">
        <v>316</v>
      </c>
    </row>
    <row r="9" spans="2:18" x14ac:dyDescent="0.25">
      <c r="D9" s="79" t="s">
        <v>317</v>
      </c>
      <c r="E9" s="422">
        <v>0.85</v>
      </c>
      <c r="F9" s="422">
        <v>0.85</v>
      </c>
      <c r="G9" s="422">
        <v>0.85</v>
      </c>
      <c r="H9" s="422">
        <v>0.85</v>
      </c>
      <c r="I9" s="422">
        <v>0.85</v>
      </c>
      <c r="L9" s="79" t="s">
        <v>317</v>
      </c>
      <c r="M9" s="445">
        <f>E9</f>
        <v>0.85</v>
      </c>
      <c r="N9" s="187">
        <f>F9</f>
        <v>0.85</v>
      </c>
      <c r="O9" s="187">
        <f>G9</f>
        <v>0.85</v>
      </c>
      <c r="P9" s="187">
        <f>H9</f>
        <v>0.85</v>
      </c>
      <c r="Q9" s="187">
        <f>I9</f>
        <v>0.85</v>
      </c>
    </row>
    <row r="10" spans="2:18" x14ac:dyDescent="0.25">
      <c r="D10" s="79" t="s">
        <v>198</v>
      </c>
      <c r="E10" s="431">
        <f>MROUND(E8*E9,1)</f>
        <v>624750</v>
      </c>
      <c r="F10" s="431">
        <f t="shared" ref="F10:I10" si="1">MROUND(F8*F9,1)</f>
        <v>110670</v>
      </c>
      <c r="G10" s="431">
        <f t="shared" si="1"/>
        <v>560788</v>
      </c>
      <c r="H10" s="431">
        <f t="shared" si="1"/>
        <v>110670</v>
      </c>
      <c r="I10" s="431">
        <f t="shared" si="1"/>
        <v>560788</v>
      </c>
      <c r="J10" s="133" t="s">
        <v>316</v>
      </c>
      <c r="L10" s="79" t="s">
        <v>198</v>
      </c>
      <c r="M10" s="103">
        <f>MROUND(M8*M9,1)</f>
        <v>1155788</v>
      </c>
      <c r="N10" s="103">
        <f t="shared" ref="N10:Q10" si="2">MROUND(N8*N9,1)</f>
        <v>173910</v>
      </c>
      <c r="O10" s="103">
        <f t="shared" si="2"/>
        <v>862750</v>
      </c>
      <c r="P10" s="103">
        <f t="shared" si="2"/>
        <v>173910</v>
      </c>
      <c r="Q10" s="103">
        <f t="shared" si="2"/>
        <v>862750</v>
      </c>
      <c r="R10" s="133" t="s">
        <v>316</v>
      </c>
    </row>
    <row r="11" spans="2:18" x14ac:dyDescent="0.25">
      <c r="D11" s="117" t="s">
        <v>166</v>
      </c>
      <c r="E11" s="103">
        <f>MROUND(E$6*E$7*E$9*E21,1)</f>
        <v>593513</v>
      </c>
      <c r="F11" s="103">
        <f>MROUND(F$6*F$7*F$9*F21,1)</f>
        <v>92225</v>
      </c>
      <c r="G11" s="103">
        <f>MROUND(G$6*G$7*G$9*G21,1)</f>
        <v>517650</v>
      </c>
      <c r="H11" s="103">
        <f>MROUND(H$6*H$7*H$9*H21,1)</f>
        <v>0</v>
      </c>
      <c r="I11" s="103">
        <f>MROUND(I$6*I$7*I$9*I21,1)</f>
        <v>0</v>
      </c>
      <c r="J11" s="133" t="s">
        <v>316</v>
      </c>
      <c r="L11" s="117" t="s">
        <v>166</v>
      </c>
      <c r="M11" s="103">
        <f>MROUND(M$6*M$7*M$9*M21,1)</f>
        <v>1124550</v>
      </c>
      <c r="N11" s="103">
        <f>MROUND(N$6*N$7*N$9*N21,1)</f>
        <v>144925</v>
      </c>
      <c r="O11" s="103">
        <f>MROUND(O$6*O$7*O$9*O21,1)</f>
        <v>819613</v>
      </c>
      <c r="P11" s="103">
        <f>MROUND(P$6*P$7*P$9*P21,1)</f>
        <v>0</v>
      </c>
      <c r="Q11" s="103">
        <f>MROUND(Q$6*Q$7*Q$9*Q21,1)</f>
        <v>0</v>
      </c>
      <c r="R11" s="133" t="s">
        <v>316</v>
      </c>
    </row>
    <row r="12" spans="2:18" x14ac:dyDescent="0.25">
      <c r="D12" s="117" t="s">
        <v>199</v>
      </c>
      <c r="E12" s="103">
        <f>SUM(E13:E14)</f>
        <v>31238</v>
      </c>
      <c r="F12" s="103">
        <f t="shared" ref="F12:I12" si="3">SUM(F13:F14)</f>
        <v>18445</v>
      </c>
      <c r="G12" s="103">
        <f t="shared" si="3"/>
        <v>43138</v>
      </c>
      <c r="H12" s="103">
        <f t="shared" si="3"/>
        <v>110670</v>
      </c>
      <c r="I12" s="103">
        <f t="shared" si="3"/>
        <v>560788</v>
      </c>
      <c r="J12" s="133" t="s">
        <v>316</v>
      </c>
      <c r="L12" s="117" t="s">
        <v>199</v>
      </c>
      <c r="M12" s="103">
        <f>SUM(M13:M14)</f>
        <v>31238</v>
      </c>
      <c r="N12" s="403">
        <f>F12</f>
        <v>18445</v>
      </c>
      <c r="O12" s="403">
        <f>G12</f>
        <v>43138</v>
      </c>
      <c r="P12" s="403">
        <f>H12</f>
        <v>110670</v>
      </c>
      <c r="Q12" s="403">
        <f>I12</f>
        <v>560788</v>
      </c>
      <c r="R12" s="133" t="s">
        <v>316</v>
      </c>
    </row>
    <row r="13" spans="2:18" x14ac:dyDescent="0.25">
      <c r="D13" s="95" t="s">
        <v>160</v>
      </c>
      <c r="E13" s="103">
        <f t="shared" ref="E13:I14" si="4">MROUND(E$6*E$7*E$9*E23,1)</f>
        <v>0</v>
      </c>
      <c r="F13" s="103">
        <f t="shared" si="4"/>
        <v>0</v>
      </c>
      <c r="G13" s="103">
        <f t="shared" si="4"/>
        <v>0</v>
      </c>
      <c r="H13" s="103">
        <f t="shared" si="4"/>
        <v>92225</v>
      </c>
      <c r="I13" s="103">
        <f t="shared" si="4"/>
        <v>517650</v>
      </c>
      <c r="J13" s="133" t="s">
        <v>316</v>
      </c>
      <c r="L13" s="95" t="s">
        <v>160</v>
      </c>
      <c r="M13" s="103">
        <f t="shared" ref="M13:Q14" si="5">MROUND(M$6*M$7*M$9*M23,1)</f>
        <v>0</v>
      </c>
      <c r="N13" s="103">
        <f t="shared" si="5"/>
        <v>0</v>
      </c>
      <c r="O13" s="103">
        <f t="shared" si="5"/>
        <v>0</v>
      </c>
      <c r="P13" s="103">
        <f t="shared" si="5"/>
        <v>144925</v>
      </c>
      <c r="Q13" s="103">
        <f t="shared" si="5"/>
        <v>819613</v>
      </c>
      <c r="R13" s="133" t="s">
        <v>316</v>
      </c>
    </row>
    <row r="14" spans="2:18" x14ac:dyDescent="0.25">
      <c r="D14" s="95" t="s">
        <v>162</v>
      </c>
      <c r="E14" s="103">
        <f t="shared" si="4"/>
        <v>31238</v>
      </c>
      <c r="F14" s="103">
        <f t="shared" si="4"/>
        <v>18445</v>
      </c>
      <c r="G14" s="103">
        <f t="shared" si="4"/>
        <v>43138</v>
      </c>
      <c r="H14" s="103">
        <f t="shared" si="4"/>
        <v>18445</v>
      </c>
      <c r="I14" s="103">
        <f t="shared" si="4"/>
        <v>43138</v>
      </c>
      <c r="J14" s="133" t="s">
        <v>316</v>
      </c>
      <c r="L14" s="95" t="s">
        <v>162</v>
      </c>
      <c r="M14" s="103">
        <f t="shared" si="5"/>
        <v>31238</v>
      </c>
      <c r="N14" s="103">
        <f t="shared" si="5"/>
        <v>28985</v>
      </c>
      <c r="O14" s="103">
        <f t="shared" si="5"/>
        <v>43138</v>
      </c>
      <c r="P14" s="103">
        <f t="shared" si="5"/>
        <v>28985</v>
      </c>
      <c r="Q14" s="103">
        <f t="shared" si="5"/>
        <v>43138</v>
      </c>
      <c r="R14" s="133" t="s">
        <v>316</v>
      </c>
    </row>
    <row r="15" spans="2:18" x14ac:dyDescent="0.25">
      <c r="D15" s="78" t="s">
        <v>213</v>
      </c>
      <c r="E15" s="443">
        <f>IF(E8/E7&gt;E16,"ERROR",E8/E7)</f>
        <v>7</v>
      </c>
      <c r="F15" s="443">
        <f t="shared" ref="F15:I15" si="6">IF(F8/F7&gt;F16,"ERROR",F8/F7)</f>
        <v>2.1</v>
      </c>
      <c r="G15" s="443">
        <f t="shared" si="6"/>
        <v>4.55</v>
      </c>
      <c r="H15" s="443">
        <f t="shared" si="6"/>
        <v>2.1</v>
      </c>
      <c r="I15" s="443">
        <f t="shared" si="6"/>
        <v>4.55</v>
      </c>
      <c r="L15" s="78" t="s">
        <v>213</v>
      </c>
      <c r="M15" s="444">
        <f>IF(M8/M7&gt;M16,"ERROR",M8/M7)</f>
        <v>12.95</v>
      </c>
      <c r="N15" s="444">
        <f t="shared" ref="N15:Q15" si="7">IF(N8/N7&gt;N16,"ERROR",N8/N7)</f>
        <v>3.3</v>
      </c>
      <c r="O15" s="444">
        <f t="shared" si="7"/>
        <v>7</v>
      </c>
      <c r="P15" s="444">
        <f t="shared" si="7"/>
        <v>3.3</v>
      </c>
      <c r="Q15" s="444">
        <f t="shared" si="7"/>
        <v>7</v>
      </c>
    </row>
    <row r="16" spans="2:18" x14ac:dyDescent="0.25">
      <c r="D16" s="79" t="s">
        <v>318</v>
      </c>
      <c r="E16" s="270">
        <v>8</v>
      </c>
      <c r="F16" s="270">
        <v>2.5</v>
      </c>
      <c r="G16" s="270">
        <v>6</v>
      </c>
      <c r="H16" s="270">
        <v>2.5</v>
      </c>
      <c r="I16" s="228">
        <v>6</v>
      </c>
      <c r="L16" s="79" t="s">
        <v>318</v>
      </c>
      <c r="M16" s="228">
        <v>24</v>
      </c>
      <c r="N16" s="228">
        <v>4</v>
      </c>
      <c r="O16" s="228">
        <v>8</v>
      </c>
      <c r="P16" s="228">
        <v>4</v>
      </c>
      <c r="Q16" s="228">
        <v>8</v>
      </c>
    </row>
    <row r="17" spans="4:18" x14ac:dyDescent="0.25">
      <c r="D17" s="79" t="s">
        <v>203</v>
      </c>
      <c r="E17" s="50">
        <v>20</v>
      </c>
      <c r="F17" s="50">
        <v>6</v>
      </c>
      <c r="G17" s="50">
        <v>13</v>
      </c>
      <c r="H17" s="50">
        <v>6</v>
      </c>
      <c r="I17" s="50">
        <v>13</v>
      </c>
      <c r="J17" s="133" t="s">
        <v>319</v>
      </c>
      <c r="L17" s="79" t="s">
        <v>203</v>
      </c>
      <c r="M17" s="58">
        <v>37</v>
      </c>
      <c r="N17" s="440">
        <f>F17</f>
        <v>6</v>
      </c>
      <c r="O17" s="58">
        <v>20</v>
      </c>
      <c r="P17" s="440">
        <f>H17</f>
        <v>6</v>
      </c>
      <c r="Q17" s="58">
        <v>20</v>
      </c>
      <c r="R17" s="133" t="s">
        <v>319</v>
      </c>
    </row>
    <row r="18" spans="4:18" x14ac:dyDescent="0.25">
      <c r="D18" s="79" t="s">
        <v>201</v>
      </c>
      <c r="E18" s="431">
        <f>'Prototype Inputs'!C27</f>
        <v>243</v>
      </c>
      <c r="F18" s="431">
        <f>'Prototype Inputs'!D27</f>
        <v>75</v>
      </c>
      <c r="G18" s="431">
        <f>'Prototype Inputs'!E27</f>
        <v>159</v>
      </c>
      <c r="H18" s="431">
        <f>'Prototype Inputs'!F27</f>
        <v>75</v>
      </c>
      <c r="I18" s="431">
        <f>'Prototype Inputs'!G27</f>
        <v>159</v>
      </c>
      <c r="J18" s="133" t="s">
        <v>320</v>
      </c>
      <c r="L18" s="79" t="s">
        <v>201</v>
      </c>
      <c r="M18" s="403">
        <f>'Prototype Inputs'!C153</f>
        <v>447</v>
      </c>
      <c r="N18" s="403">
        <f>'Prototype Inputs'!D153</f>
        <v>75</v>
      </c>
      <c r="O18" s="403">
        <f>'Prototype Inputs'!E153</f>
        <v>243</v>
      </c>
      <c r="P18" s="403">
        <f>'Prototype Inputs'!F153</f>
        <v>75</v>
      </c>
      <c r="Q18" s="403">
        <f>'Prototype Inputs'!G153</f>
        <v>243</v>
      </c>
      <c r="R18" s="133" t="s">
        <v>320</v>
      </c>
    </row>
    <row r="19" spans="4:18" x14ac:dyDescent="0.25">
      <c r="D19" s="79" t="s">
        <v>321</v>
      </c>
      <c r="E19" s="422">
        <v>250</v>
      </c>
      <c r="F19" s="422">
        <v>100</v>
      </c>
      <c r="G19" s="422">
        <v>160</v>
      </c>
      <c r="H19" s="422">
        <v>100</v>
      </c>
      <c r="I19" s="58">
        <v>160</v>
      </c>
      <c r="J19" s="133" t="s">
        <v>320</v>
      </c>
      <c r="L19" s="79" t="s">
        <v>321</v>
      </c>
      <c r="M19" s="58">
        <v>450</v>
      </c>
      <c r="N19" s="58">
        <v>100</v>
      </c>
      <c r="O19" s="58">
        <v>250</v>
      </c>
      <c r="P19" s="58">
        <v>100</v>
      </c>
      <c r="Q19" s="58">
        <v>250</v>
      </c>
      <c r="R19" s="133" t="s">
        <v>320</v>
      </c>
    </row>
    <row r="20" spans="4:18" x14ac:dyDescent="0.25">
      <c r="D20" s="243" t="s">
        <v>322</v>
      </c>
      <c r="E20" s="432"/>
      <c r="F20" s="432"/>
      <c r="G20" s="432"/>
      <c r="H20" s="432"/>
      <c r="I20" s="432"/>
      <c r="J20" s="432"/>
      <c r="L20" s="243" t="s">
        <v>322</v>
      </c>
      <c r="M20" s="432"/>
      <c r="N20" s="432"/>
      <c r="O20" s="432"/>
      <c r="P20" s="432"/>
      <c r="Q20" s="432"/>
      <c r="R20" s="432"/>
    </row>
    <row r="21" spans="4:18" x14ac:dyDescent="0.25">
      <c r="D21" s="117" t="s">
        <v>166</v>
      </c>
      <c r="E21" s="103">
        <f>E17-E22</f>
        <v>19</v>
      </c>
      <c r="F21" s="103">
        <f>F17-F22</f>
        <v>5</v>
      </c>
      <c r="G21" s="103">
        <f>G17-G22</f>
        <v>12</v>
      </c>
      <c r="H21" s="422">
        <v>0</v>
      </c>
      <c r="I21" s="422">
        <v>0</v>
      </c>
      <c r="J21" s="133" t="s">
        <v>319</v>
      </c>
      <c r="L21" s="117" t="s">
        <v>166</v>
      </c>
      <c r="M21" s="103">
        <f>M17-M22</f>
        <v>36</v>
      </c>
      <c r="N21" s="103">
        <f>N17-N22</f>
        <v>5</v>
      </c>
      <c r="O21" s="103">
        <f>O17-O22</f>
        <v>19</v>
      </c>
      <c r="P21" s="422">
        <v>0</v>
      </c>
      <c r="Q21" s="422">
        <v>0</v>
      </c>
      <c r="R21" s="133" t="s">
        <v>319</v>
      </c>
    </row>
    <row r="22" spans="4:18" x14ac:dyDescent="0.25">
      <c r="D22" s="117" t="s">
        <v>199</v>
      </c>
      <c r="E22" s="420">
        <f>SUM(E23:E24)</f>
        <v>1</v>
      </c>
      <c r="F22" s="420">
        <f t="shared" ref="F22:G22" si="8">SUM(F23:F24)</f>
        <v>1</v>
      </c>
      <c r="G22" s="420">
        <f t="shared" si="8"/>
        <v>1</v>
      </c>
      <c r="H22" s="78">
        <f>H17</f>
        <v>6</v>
      </c>
      <c r="I22" s="78">
        <f>I17</f>
        <v>13</v>
      </c>
      <c r="J22" s="133" t="s">
        <v>319</v>
      </c>
      <c r="L22" s="117" t="s">
        <v>199</v>
      </c>
      <c r="M22" s="420">
        <f>SUM(M23:M24)</f>
        <v>1</v>
      </c>
      <c r="N22" s="420">
        <f t="shared" ref="N22" si="9">SUM(N23:N24)</f>
        <v>1</v>
      </c>
      <c r="O22" s="420">
        <f t="shared" ref="O22" si="10">SUM(O23:O24)</f>
        <v>1</v>
      </c>
      <c r="P22" s="78">
        <f>P17</f>
        <v>6</v>
      </c>
      <c r="Q22" s="78">
        <f>Q17</f>
        <v>20</v>
      </c>
      <c r="R22" s="133" t="s">
        <v>319</v>
      </c>
    </row>
    <row r="23" spans="4:18" x14ac:dyDescent="0.25">
      <c r="D23" s="95" t="s">
        <v>160</v>
      </c>
      <c r="E23" s="422">
        <v>0</v>
      </c>
      <c r="F23" s="422">
        <v>0</v>
      </c>
      <c r="G23" s="422">
        <v>0</v>
      </c>
      <c r="H23" s="103">
        <f>H22-H24</f>
        <v>5</v>
      </c>
      <c r="I23" s="103">
        <f t="shared" ref="I23" si="11">I22-I24</f>
        <v>12</v>
      </c>
      <c r="J23" s="133" t="s">
        <v>319</v>
      </c>
      <c r="L23" s="95" t="s">
        <v>160</v>
      </c>
      <c r="M23" s="422">
        <v>0</v>
      </c>
      <c r="N23" s="422">
        <v>0</v>
      </c>
      <c r="O23" s="422">
        <v>0</v>
      </c>
      <c r="P23" s="103">
        <f>P22-P24-P21</f>
        <v>5</v>
      </c>
      <c r="Q23" s="103">
        <f>Q22-Q24-Q21</f>
        <v>19</v>
      </c>
      <c r="R23" s="133" t="s">
        <v>319</v>
      </c>
    </row>
    <row r="24" spans="4:18" x14ac:dyDescent="0.25">
      <c r="D24" s="95" t="s">
        <v>162</v>
      </c>
      <c r="E24" s="422">
        <v>1</v>
      </c>
      <c r="F24" s="422">
        <v>1</v>
      </c>
      <c r="G24" s="422">
        <v>1</v>
      </c>
      <c r="H24" s="422">
        <v>1</v>
      </c>
      <c r="I24" s="422">
        <v>1</v>
      </c>
      <c r="J24" s="133" t="s">
        <v>319</v>
      </c>
      <c r="L24" s="95" t="s">
        <v>162</v>
      </c>
      <c r="M24" s="422">
        <v>1</v>
      </c>
      <c r="N24" s="422">
        <v>1</v>
      </c>
      <c r="O24" s="422">
        <v>1</v>
      </c>
      <c r="P24" s="422">
        <v>1</v>
      </c>
      <c r="Q24" s="422">
        <v>1</v>
      </c>
      <c r="R24" s="133" t="s">
        <v>319</v>
      </c>
    </row>
    <row r="25" spans="4:18" x14ac:dyDescent="0.25">
      <c r="D25" s="243" t="s">
        <v>323</v>
      </c>
      <c r="E25" s="432"/>
      <c r="F25" s="432"/>
      <c r="G25" s="432"/>
      <c r="H25" s="432"/>
      <c r="I25" s="432"/>
      <c r="J25" s="432"/>
      <c r="L25" s="243" t="s">
        <v>323</v>
      </c>
      <c r="M25" s="432"/>
      <c r="N25" s="432"/>
      <c r="O25" s="432"/>
      <c r="P25" s="432"/>
      <c r="Q25" s="432"/>
      <c r="R25" s="432"/>
    </row>
    <row r="26" spans="4:18" x14ac:dyDescent="0.25">
      <c r="D26" s="153" t="s">
        <v>55</v>
      </c>
      <c r="L26" s="153" t="s">
        <v>55</v>
      </c>
      <c r="M26" s="129"/>
      <c r="N26" s="129"/>
      <c r="O26" s="129"/>
      <c r="P26" s="129"/>
      <c r="Q26" s="129"/>
    </row>
    <row r="27" spans="4:18" x14ac:dyDescent="0.25">
      <c r="D27" s="117" t="s">
        <v>146</v>
      </c>
      <c r="E27" s="135">
        <v>0.3</v>
      </c>
      <c r="F27" s="135">
        <v>0.3</v>
      </c>
      <c r="G27" s="135">
        <v>0.3</v>
      </c>
      <c r="H27" s="144" t="s">
        <v>324</v>
      </c>
      <c r="I27" s="144" t="s">
        <v>324</v>
      </c>
      <c r="L27" s="117" t="s">
        <v>146</v>
      </c>
      <c r="M27" s="135">
        <v>0.3</v>
      </c>
      <c r="N27" s="135">
        <v>0.3</v>
      </c>
      <c r="O27" s="135">
        <v>0.3</v>
      </c>
      <c r="P27" s="144" t="s">
        <v>324</v>
      </c>
      <c r="Q27" s="144" t="s">
        <v>324</v>
      </c>
    </row>
    <row r="28" spans="4:18" x14ac:dyDescent="0.25">
      <c r="D28" s="117" t="s">
        <v>148</v>
      </c>
      <c r="E28" s="135">
        <v>0.6</v>
      </c>
      <c r="F28" s="135">
        <v>0.6</v>
      </c>
      <c r="G28" s="135">
        <v>0.6</v>
      </c>
      <c r="H28" s="144" t="s">
        <v>324</v>
      </c>
      <c r="I28" s="144" t="s">
        <v>324</v>
      </c>
      <c r="L28" s="117" t="s">
        <v>148</v>
      </c>
      <c r="M28" s="135">
        <v>0.6</v>
      </c>
      <c r="N28" s="135">
        <v>0.6</v>
      </c>
      <c r="O28" s="135">
        <v>0.6</v>
      </c>
      <c r="P28" s="144" t="s">
        <v>324</v>
      </c>
      <c r="Q28" s="144" t="s">
        <v>324</v>
      </c>
    </row>
    <row r="29" spans="4:18" x14ac:dyDescent="0.25">
      <c r="D29" s="117" t="s">
        <v>149</v>
      </c>
      <c r="E29" s="135">
        <v>0.1</v>
      </c>
      <c r="F29" s="135">
        <v>0.1</v>
      </c>
      <c r="G29" s="135">
        <v>0.1</v>
      </c>
      <c r="H29" s="144" t="s">
        <v>324</v>
      </c>
      <c r="I29" s="144" t="s">
        <v>324</v>
      </c>
      <c r="L29" s="117" t="s">
        <v>149</v>
      </c>
      <c r="M29" s="135">
        <v>0.1</v>
      </c>
      <c r="N29" s="135">
        <v>0.1</v>
      </c>
      <c r="O29" s="135">
        <v>0.1</v>
      </c>
      <c r="P29" s="144" t="s">
        <v>324</v>
      </c>
      <c r="Q29" s="144" t="s">
        <v>324</v>
      </c>
    </row>
    <row r="30" spans="4:18" x14ac:dyDescent="0.25">
      <c r="D30" s="117" t="s">
        <v>150</v>
      </c>
      <c r="E30" s="135">
        <v>0</v>
      </c>
      <c r="F30" s="135">
        <v>0</v>
      </c>
      <c r="G30" s="135">
        <v>0</v>
      </c>
      <c r="H30" s="344" t="s">
        <v>324</v>
      </c>
      <c r="I30" s="144" t="s">
        <v>324</v>
      </c>
      <c r="L30" s="117" t="s">
        <v>150</v>
      </c>
      <c r="M30" s="424">
        <f>E30+'Model Controls'!$K$67</f>
        <v>0</v>
      </c>
      <c r="N30" s="424">
        <f>F30+'Model Controls'!$K$67</f>
        <v>0</v>
      </c>
      <c r="O30" s="424">
        <f>G30+'Model Controls'!$K$67</f>
        <v>0</v>
      </c>
      <c r="P30" s="344" t="s">
        <v>324</v>
      </c>
      <c r="Q30" s="144" t="s">
        <v>324</v>
      </c>
    </row>
    <row r="31" spans="4:18" x14ac:dyDescent="0.25">
      <c r="D31" s="141" t="s">
        <v>325</v>
      </c>
      <c r="E31" s="421"/>
      <c r="F31" s="421"/>
      <c r="G31" s="421"/>
      <c r="H31" s="144"/>
      <c r="I31" s="144"/>
      <c r="L31" s="141" t="s">
        <v>325</v>
      </c>
      <c r="M31" s="421"/>
      <c r="N31" s="421"/>
      <c r="O31" s="421"/>
      <c r="P31" s="144"/>
      <c r="Q31" s="144"/>
    </row>
    <row r="32" spans="4:18" x14ac:dyDescent="0.25">
      <c r="D32" s="117" t="s">
        <v>146</v>
      </c>
      <c r="E32" s="346">
        <v>550</v>
      </c>
      <c r="F32" s="346">
        <v>550</v>
      </c>
      <c r="G32" s="346">
        <v>550</v>
      </c>
      <c r="H32" s="425" t="s">
        <v>324</v>
      </c>
      <c r="I32" s="143" t="s">
        <v>324</v>
      </c>
      <c r="J32" s="133" t="s">
        <v>316</v>
      </c>
      <c r="L32" s="117" t="s">
        <v>146</v>
      </c>
      <c r="M32" s="346">
        <v>550</v>
      </c>
      <c r="N32" s="346">
        <v>550</v>
      </c>
      <c r="O32" s="346">
        <v>550</v>
      </c>
      <c r="P32" s="425" t="s">
        <v>324</v>
      </c>
      <c r="Q32" s="143" t="s">
        <v>324</v>
      </c>
      <c r="R32" s="133" t="s">
        <v>316</v>
      </c>
    </row>
    <row r="33" spans="2:18" x14ac:dyDescent="0.25">
      <c r="D33" s="117" t="s">
        <v>148</v>
      </c>
      <c r="E33" s="346">
        <v>700</v>
      </c>
      <c r="F33" s="346">
        <v>700</v>
      </c>
      <c r="G33" s="346">
        <v>700</v>
      </c>
      <c r="H33" s="425" t="s">
        <v>324</v>
      </c>
      <c r="I33" s="143" t="s">
        <v>324</v>
      </c>
      <c r="J33" s="133" t="s">
        <v>316</v>
      </c>
      <c r="L33" s="117" t="s">
        <v>148</v>
      </c>
      <c r="M33" s="346">
        <v>700</v>
      </c>
      <c r="N33" s="346">
        <v>700</v>
      </c>
      <c r="O33" s="346">
        <v>700</v>
      </c>
      <c r="P33" s="425" t="s">
        <v>324</v>
      </c>
      <c r="Q33" s="143" t="s">
        <v>324</v>
      </c>
      <c r="R33" s="133" t="s">
        <v>316</v>
      </c>
    </row>
    <row r="34" spans="2:18" x14ac:dyDescent="0.25">
      <c r="D34" s="117" t="s">
        <v>149</v>
      </c>
      <c r="E34" s="346">
        <v>900</v>
      </c>
      <c r="F34" s="346">
        <v>900</v>
      </c>
      <c r="G34" s="346">
        <v>900</v>
      </c>
      <c r="H34" s="425" t="s">
        <v>324</v>
      </c>
      <c r="I34" s="143" t="s">
        <v>324</v>
      </c>
      <c r="J34" s="133" t="s">
        <v>316</v>
      </c>
      <c r="L34" s="117" t="s">
        <v>149</v>
      </c>
      <c r="M34" s="346">
        <v>900</v>
      </c>
      <c r="N34" s="346">
        <v>900</v>
      </c>
      <c r="O34" s="346">
        <v>900</v>
      </c>
      <c r="P34" s="425" t="s">
        <v>324</v>
      </c>
      <c r="Q34" s="143" t="s">
        <v>324</v>
      </c>
      <c r="R34" s="133" t="s">
        <v>316</v>
      </c>
    </row>
    <row r="35" spans="2:18" x14ac:dyDescent="0.25">
      <c r="D35" s="117" t="s">
        <v>150</v>
      </c>
      <c r="E35" s="346">
        <v>1200</v>
      </c>
      <c r="F35" s="346">
        <v>1200</v>
      </c>
      <c r="G35" s="346">
        <v>1200</v>
      </c>
      <c r="H35" s="426" t="s">
        <v>324</v>
      </c>
      <c r="I35" s="427" t="s">
        <v>324</v>
      </c>
      <c r="J35" s="133" t="s">
        <v>316</v>
      </c>
      <c r="L35" s="117" t="s">
        <v>150</v>
      </c>
      <c r="M35" s="346">
        <v>1200</v>
      </c>
      <c r="N35" s="346">
        <v>1200</v>
      </c>
      <c r="O35" s="346">
        <v>1200</v>
      </c>
      <c r="P35" s="425" t="s">
        <v>324</v>
      </c>
      <c r="Q35" s="143" t="s">
        <v>324</v>
      </c>
      <c r="R35" s="133" t="s">
        <v>316</v>
      </c>
    </row>
    <row r="36" spans="2:18" x14ac:dyDescent="0.25">
      <c r="D36" s="243" t="s">
        <v>156</v>
      </c>
      <c r="E36" s="432"/>
      <c r="F36" s="432"/>
      <c r="G36" s="432"/>
      <c r="H36" s="432"/>
      <c r="I36" s="432"/>
      <c r="J36" s="432"/>
      <c r="L36" s="243" t="s">
        <v>156</v>
      </c>
      <c r="M36" s="432"/>
      <c r="N36" s="432"/>
      <c r="O36" s="432"/>
      <c r="P36" s="432"/>
      <c r="Q36" s="432"/>
      <c r="R36" s="432"/>
    </row>
    <row r="37" spans="2:18" x14ac:dyDescent="0.25">
      <c r="D37" s="79" t="s">
        <v>326</v>
      </c>
      <c r="E37" s="49" t="s">
        <v>327</v>
      </c>
      <c r="F37" s="49" t="s">
        <v>327</v>
      </c>
      <c r="G37" s="49" t="s">
        <v>327</v>
      </c>
      <c r="H37" s="49" t="s">
        <v>327</v>
      </c>
      <c r="I37" s="49" t="s">
        <v>327</v>
      </c>
      <c r="J37" s="133" t="s">
        <v>328</v>
      </c>
      <c r="L37" s="79" t="s">
        <v>326</v>
      </c>
      <c r="M37" s="129" t="str">
        <f>E37</f>
        <v>Structured</v>
      </c>
      <c r="N37" s="129" t="str">
        <f>F37</f>
        <v>Structured</v>
      </c>
      <c r="O37" s="129" t="str">
        <f>G37</f>
        <v>Structured</v>
      </c>
      <c r="P37" s="129" t="str">
        <f>H37</f>
        <v>Structured</v>
      </c>
      <c r="Q37" s="129" t="str">
        <f>I37</f>
        <v>Structured</v>
      </c>
      <c r="R37" s="133" t="s">
        <v>328</v>
      </c>
    </row>
    <row r="38" spans="2:18" x14ac:dyDescent="0.25">
      <c r="D38" s="83" t="s">
        <v>207</v>
      </c>
      <c r="E38" s="126"/>
      <c r="F38" s="126"/>
      <c r="G38" s="126"/>
      <c r="H38" s="126"/>
      <c r="I38" s="126"/>
      <c r="L38" s="83" t="s">
        <v>207</v>
      </c>
      <c r="M38" s="126"/>
      <c r="N38" s="126"/>
      <c r="O38" s="126"/>
      <c r="P38" s="126"/>
      <c r="Q38" s="126"/>
    </row>
    <row r="39" spans="2:18" x14ac:dyDescent="0.25">
      <c r="D39" s="117" t="s">
        <v>166</v>
      </c>
      <c r="E39" s="423">
        <v>0.96499999999999997</v>
      </c>
      <c r="F39" s="423">
        <v>0.87</v>
      </c>
      <c r="G39" s="423">
        <v>0.94499999999999995</v>
      </c>
      <c r="H39" s="426" t="s">
        <v>324</v>
      </c>
      <c r="I39" s="427" t="s">
        <v>324</v>
      </c>
      <c r="J39" s="133" t="s">
        <v>329</v>
      </c>
      <c r="L39" s="117" t="s">
        <v>166</v>
      </c>
      <c r="M39" s="423">
        <v>0.96499999999999997</v>
      </c>
      <c r="N39" s="423">
        <v>0.87</v>
      </c>
      <c r="O39" s="423">
        <v>0.94499999999999995</v>
      </c>
      <c r="P39" s="426" t="s">
        <v>324</v>
      </c>
      <c r="Q39" s="427" t="s">
        <v>324</v>
      </c>
      <c r="R39" s="133" t="s">
        <v>329</v>
      </c>
    </row>
    <row r="40" spans="2:18" x14ac:dyDescent="0.25">
      <c r="D40" s="117" t="s">
        <v>162</v>
      </c>
      <c r="E40" s="423">
        <v>1</v>
      </c>
      <c r="F40" s="423">
        <v>1</v>
      </c>
      <c r="G40" s="423">
        <v>1</v>
      </c>
      <c r="H40" s="423">
        <v>1</v>
      </c>
      <c r="I40" s="423">
        <v>1</v>
      </c>
      <c r="J40" s="78" t="s">
        <v>330</v>
      </c>
      <c r="K40" s="78"/>
      <c r="L40" s="117" t="s">
        <v>162</v>
      </c>
      <c r="M40" s="423">
        <v>1</v>
      </c>
      <c r="N40" s="423">
        <v>1</v>
      </c>
      <c r="O40" s="423">
        <v>1</v>
      </c>
      <c r="P40" s="423">
        <v>1</v>
      </c>
      <c r="Q40" s="423">
        <v>1</v>
      </c>
      <c r="R40" s="78" t="s">
        <v>330</v>
      </c>
    </row>
    <row r="41" spans="2:18" ht="14.4" thickBot="1" x14ac:dyDescent="0.3">
      <c r="D41" s="158" t="s">
        <v>160</v>
      </c>
      <c r="E41" s="438" t="s">
        <v>324</v>
      </c>
      <c r="F41" s="438" t="s">
        <v>324</v>
      </c>
      <c r="G41" s="439" t="s">
        <v>324</v>
      </c>
      <c r="H41" s="434">
        <v>2</v>
      </c>
      <c r="I41" s="434">
        <v>2</v>
      </c>
      <c r="J41" s="459" t="s">
        <v>330</v>
      </c>
      <c r="K41" s="78"/>
      <c r="L41" s="158" t="s">
        <v>160</v>
      </c>
      <c r="M41" s="438" t="s">
        <v>324</v>
      </c>
      <c r="N41" s="438" t="s">
        <v>324</v>
      </c>
      <c r="O41" s="439" t="s">
        <v>324</v>
      </c>
      <c r="P41" s="434">
        <v>2</v>
      </c>
      <c r="Q41" s="434">
        <v>2</v>
      </c>
      <c r="R41" s="459" t="s">
        <v>330</v>
      </c>
    </row>
    <row r="43" spans="2:18" ht="17.399999999999999" x14ac:dyDescent="0.3">
      <c r="D43" s="419" t="s">
        <v>140</v>
      </c>
    </row>
    <row r="44" spans="2:18" ht="9" customHeight="1" thickBot="1" x14ac:dyDescent="0.3">
      <c r="B44" s="153"/>
      <c r="D44" s="418"/>
    </row>
    <row r="45" spans="2:18" x14ac:dyDescent="0.25">
      <c r="B45" s="153"/>
      <c r="D45" s="387" t="s">
        <v>10</v>
      </c>
      <c r="E45" s="245" t="s">
        <v>186</v>
      </c>
      <c r="F45" s="245" t="s">
        <v>187</v>
      </c>
      <c r="G45" s="245" t="s">
        <v>188</v>
      </c>
      <c r="H45" s="245" t="s">
        <v>189</v>
      </c>
      <c r="I45" s="245" t="s">
        <v>190</v>
      </c>
      <c r="J45" s="245" t="s">
        <v>145</v>
      </c>
      <c r="K45" s="460"/>
    </row>
    <row r="46" spans="2:18" x14ac:dyDescent="0.25">
      <c r="B46" s="153"/>
      <c r="D46" s="243" t="s">
        <v>191</v>
      </c>
      <c r="E46" s="432"/>
      <c r="F46" s="432"/>
      <c r="G46" s="432"/>
      <c r="H46" s="432"/>
      <c r="I46" s="432"/>
      <c r="J46" s="432"/>
    </row>
    <row r="47" spans="2:18" ht="27.6" x14ac:dyDescent="0.25">
      <c r="B47" s="210"/>
      <c r="D47" s="210" t="s">
        <v>313</v>
      </c>
      <c r="E47" s="428" t="str">
        <f t="shared" ref="E47:I56" si="12">E5</f>
        <v>Urban Core</v>
      </c>
      <c r="F47" s="428" t="str">
        <f t="shared" si="12"/>
        <v>Mixed-Use Residential Mid-rise</v>
      </c>
      <c r="G47" s="428" t="str">
        <f t="shared" si="12"/>
        <v>Mixed-use High-rise</v>
      </c>
      <c r="H47" s="428" t="str">
        <f t="shared" si="12"/>
        <v>Mixed-Use Office Mid-rise</v>
      </c>
      <c r="I47" s="429" t="str">
        <f t="shared" si="12"/>
        <v>Medical Office High-rise</v>
      </c>
      <c r="J47" s="447" t="s">
        <v>314</v>
      </c>
      <c r="K47" s="447"/>
    </row>
    <row r="48" spans="2:18" x14ac:dyDescent="0.25">
      <c r="B48" s="79"/>
      <c r="D48" s="79" t="s">
        <v>315</v>
      </c>
      <c r="E48" s="163">
        <f t="shared" si="12"/>
        <v>0.35</v>
      </c>
      <c r="F48" s="163">
        <f t="shared" si="12"/>
        <v>0.35</v>
      </c>
      <c r="G48" s="163">
        <f t="shared" si="12"/>
        <v>0.35</v>
      </c>
      <c r="H48" s="163">
        <f t="shared" si="12"/>
        <v>0.35</v>
      </c>
      <c r="I48" s="163">
        <f t="shared" si="12"/>
        <v>0.35</v>
      </c>
    </row>
    <row r="49" spans="2:10" x14ac:dyDescent="0.25">
      <c r="B49" s="79"/>
      <c r="D49" s="79" t="s">
        <v>193</v>
      </c>
      <c r="E49" s="103">
        <f t="shared" si="12"/>
        <v>105000</v>
      </c>
      <c r="F49" s="103">
        <f t="shared" si="12"/>
        <v>62000</v>
      </c>
      <c r="G49" s="103">
        <f t="shared" si="12"/>
        <v>145000</v>
      </c>
      <c r="H49" s="103">
        <f t="shared" si="12"/>
        <v>62000</v>
      </c>
      <c r="I49" s="143">
        <f t="shared" si="12"/>
        <v>145000</v>
      </c>
      <c r="J49" s="133" t="s">
        <v>316</v>
      </c>
    </row>
    <row r="50" spans="2:10" x14ac:dyDescent="0.25">
      <c r="B50" s="79"/>
      <c r="D50" s="79" t="s">
        <v>194</v>
      </c>
      <c r="E50" s="103">
        <f t="shared" si="12"/>
        <v>735000</v>
      </c>
      <c r="F50" s="103">
        <f t="shared" si="12"/>
        <v>130200</v>
      </c>
      <c r="G50" s="103">
        <f t="shared" si="12"/>
        <v>659750</v>
      </c>
      <c r="H50" s="103">
        <f t="shared" si="12"/>
        <v>130200</v>
      </c>
      <c r="I50" s="103">
        <f t="shared" si="12"/>
        <v>659750</v>
      </c>
      <c r="J50" s="133" t="s">
        <v>316</v>
      </c>
    </row>
    <row r="51" spans="2:10" x14ac:dyDescent="0.25">
      <c r="B51" s="79"/>
      <c r="D51" s="79" t="s">
        <v>317</v>
      </c>
      <c r="E51" s="129">
        <f t="shared" si="12"/>
        <v>0.85</v>
      </c>
      <c r="F51" s="129">
        <f t="shared" si="12"/>
        <v>0.85</v>
      </c>
      <c r="G51" s="129">
        <f t="shared" si="12"/>
        <v>0.85</v>
      </c>
      <c r="H51" s="129">
        <f t="shared" si="12"/>
        <v>0.85</v>
      </c>
      <c r="I51" s="129">
        <f t="shared" si="12"/>
        <v>0.85</v>
      </c>
    </row>
    <row r="52" spans="2:10" x14ac:dyDescent="0.25">
      <c r="B52" s="79"/>
      <c r="D52" s="79" t="s">
        <v>198</v>
      </c>
      <c r="E52" s="103">
        <f t="shared" si="12"/>
        <v>624750</v>
      </c>
      <c r="F52" s="103">
        <f t="shared" si="12"/>
        <v>110670</v>
      </c>
      <c r="G52" s="103">
        <f t="shared" si="12"/>
        <v>560788</v>
      </c>
      <c r="H52" s="103">
        <f t="shared" si="12"/>
        <v>110670</v>
      </c>
      <c r="I52" s="103">
        <f t="shared" si="12"/>
        <v>560788</v>
      </c>
      <c r="J52" s="133" t="s">
        <v>316</v>
      </c>
    </row>
    <row r="53" spans="2:10" x14ac:dyDescent="0.25">
      <c r="B53" s="117"/>
      <c r="D53" s="117" t="s">
        <v>166</v>
      </c>
      <c r="E53" s="103">
        <f t="shared" si="12"/>
        <v>593513</v>
      </c>
      <c r="F53" s="103">
        <f t="shared" si="12"/>
        <v>92225</v>
      </c>
      <c r="G53" s="103">
        <f t="shared" si="12"/>
        <v>517650</v>
      </c>
      <c r="H53" s="103">
        <f t="shared" si="12"/>
        <v>0</v>
      </c>
      <c r="I53" s="103">
        <f t="shared" si="12"/>
        <v>0</v>
      </c>
      <c r="J53" s="133" t="s">
        <v>316</v>
      </c>
    </row>
    <row r="54" spans="2:10" x14ac:dyDescent="0.25">
      <c r="B54" s="117"/>
      <c r="D54" s="117" t="s">
        <v>199</v>
      </c>
      <c r="E54" s="103">
        <f t="shared" si="12"/>
        <v>31238</v>
      </c>
      <c r="F54" s="103">
        <f t="shared" si="12"/>
        <v>18445</v>
      </c>
      <c r="G54" s="103">
        <f t="shared" si="12"/>
        <v>43138</v>
      </c>
      <c r="H54" s="103">
        <f t="shared" si="12"/>
        <v>110670</v>
      </c>
      <c r="I54" s="103">
        <f t="shared" si="12"/>
        <v>560788</v>
      </c>
      <c r="J54" s="133" t="s">
        <v>316</v>
      </c>
    </row>
    <row r="55" spans="2:10" x14ac:dyDescent="0.25">
      <c r="B55" s="95"/>
      <c r="D55" s="95" t="s">
        <v>160</v>
      </c>
      <c r="E55" s="103">
        <f t="shared" si="12"/>
        <v>0</v>
      </c>
      <c r="F55" s="103">
        <f t="shared" si="12"/>
        <v>0</v>
      </c>
      <c r="G55" s="103">
        <f t="shared" si="12"/>
        <v>0</v>
      </c>
      <c r="H55" s="103">
        <f t="shared" si="12"/>
        <v>92225</v>
      </c>
      <c r="I55" s="103">
        <f t="shared" si="12"/>
        <v>517650</v>
      </c>
      <c r="J55" s="133" t="s">
        <v>316</v>
      </c>
    </row>
    <row r="56" spans="2:10" x14ac:dyDescent="0.25">
      <c r="B56" s="95"/>
      <c r="D56" s="95" t="s">
        <v>162</v>
      </c>
      <c r="E56" s="103">
        <f t="shared" si="12"/>
        <v>31238</v>
      </c>
      <c r="F56" s="103">
        <f t="shared" si="12"/>
        <v>18445</v>
      </c>
      <c r="G56" s="103">
        <f t="shared" si="12"/>
        <v>43138</v>
      </c>
      <c r="H56" s="103">
        <f t="shared" si="12"/>
        <v>18445</v>
      </c>
      <c r="I56" s="103">
        <f t="shared" si="12"/>
        <v>43138</v>
      </c>
      <c r="J56" s="133" t="s">
        <v>316</v>
      </c>
    </row>
    <row r="57" spans="2:10" x14ac:dyDescent="0.25">
      <c r="B57" s="95"/>
      <c r="D57" s="78" t="s">
        <v>213</v>
      </c>
      <c r="E57" s="444">
        <f>IF(E50/E49&gt;E58,"ERROR",E50/E49)</f>
        <v>7</v>
      </c>
      <c r="F57" s="444">
        <f t="shared" ref="F57:I57" si="13">IF(F50/F49&gt;F58,"ERROR",F50/F49)</f>
        <v>2.1</v>
      </c>
      <c r="G57" s="444">
        <f t="shared" si="13"/>
        <v>4.55</v>
      </c>
      <c r="H57" s="444">
        <f t="shared" si="13"/>
        <v>2.1</v>
      </c>
      <c r="I57" s="444">
        <f t="shared" si="13"/>
        <v>4.55</v>
      </c>
    </row>
    <row r="58" spans="2:10" x14ac:dyDescent="0.25">
      <c r="B58" s="79"/>
      <c r="D58" s="79" t="s">
        <v>318</v>
      </c>
      <c r="E58" s="435">
        <f t="shared" ref="E58:I59" si="14">E16</f>
        <v>8</v>
      </c>
      <c r="F58" s="435">
        <f t="shared" si="14"/>
        <v>2.5</v>
      </c>
      <c r="G58" s="435">
        <f t="shared" si="14"/>
        <v>6</v>
      </c>
      <c r="H58" s="435">
        <f t="shared" si="14"/>
        <v>2.5</v>
      </c>
      <c r="I58" s="436">
        <f t="shared" si="14"/>
        <v>6</v>
      </c>
    </row>
    <row r="59" spans="2:10" x14ac:dyDescent="0.25">
      <c r="B59" s="79"/>
      <c r="D59" s="79" t="s">
        <v>203</v>
      </c>
      <c r="E59" s="78">
        <f t="shared" si="14"/>
        <v>20</v>
      </c>
      <c r="F59" s="78">
        <f t="shared" si="14"/>
        <v>6</v>
      </c>
      <c r="G59" s="78">
        <f t="shared" si="14"/>
        <v>13</v>
      </c>
      <c r="H59" s="78">
        <f t="shared" si="14"/>
        <v>6</v>
      </c>
      <c r="I59" s="78">
        <f t="shared" si="14"/>
        <v>13</v>
      </c>
      <c r="J59" s="133" t="s">
        <v>319</v>
      </c>
    </row>
    <row r="60" spans="2:10" x14ac:dyDescent="0.25">
      <c r="D60" s="79" t="s">
        <v>201</v>
      </c>
      <c r="E60" s="103">
        <f>'Prototype Inputs'!C89</f>
        <v>243</v>
      </c>
      <c r="F60" s="103">
        <f>'Prototype Inputs'!D89</f>
        <v>75</v>
      </c>
      <c r="G60" s="103">
        <f>'Prototype Inputs'!E89</f>
        <v>159</v>
      </c>
      <c r="H60" s="103">
        <f>'Prototype Inputs'!F89</f>
        <v>75</v>
      </c>
      <c r="I60" s="103">
        <f>'Prototype Inputs'!G89</f>
        <v>159</v>
      </c>
      <c r="J60" s="133" t="s">
        <v>320</v>
      </c>
    </row>
    <row r="61" spans="2:10" x14ac:dyDescent="0.25">
      <c r="B61" s="79"/>
      <c r="D61" s="79" t="s">
        <v>321</v>
      </c>
      <c r="E61" s="129">
        <f>E19</f>
        <v>250</v>
      </c>
      <c r="F61" s="129">
        <f>F19</f>
        <v>100</v>
      </c>
      <c r="G61" s="129">
        <f>G19</f>
        <v>160</v>
      </c>
      <c r="H61" s="129">
        <f>H19</f>
        <v>100</v>
      </c>
      <c r="I61" s="147">
        <f>I19</f>
        <v>160</v>
      </c>
      <c r="J61" s="133" t="s">
        <v>320</v>
      </c>
    </row>
    <row r="62" spans="2:10" x14ac:dyDescent="0.25">
      <c r="B62" s="153"/>
      <c r="D62" s="243" t="s">
        <v>322</v>
      </c>
      <c r="E62" s="432"/>
      <c r="F62" s="432"/>
      <c r="G62" s="432"/>
      <c r="H62" s="432"/>
      <c r="I62" s="432"/>
      <c r="J62" s="432"/>
    </row>
    <row r="63" spans="2:10" x14ac:dyDescent="0.25">
      <c r="B63" s="117"/>
      <c r="D63" s="117" t="s">
        <v>166</v>
      </c>
      <c r="E63" s="103">
        <f t="shared" ref="E63:I66" si="15">E21</f>
        <v>19</v>
      </c>
      <c r="F63" s="103">
        <f t="shared" si="15"/>
        <v>5</v>
      </c>
      <c r="G63" s="103">
        <f t="shared" si="15"/>
        <v>12</v>
      </c>
      <c r="H63" s="129">
        <f t="shared" si="15"/>
        <v>0</v>
      </c>
      <c r="I63" s="129">
        <f t="shared" si="15"/>
        <v>0</v>
      </c>
      <c r="J63" s="133" t="s">
        <v>319</v>
      </c>
    </row>
    <row r="64" spans="2:10" x14ac:dyDescent="0.25">
      <c r="B64" s="117"/>
      <c r="D64" s="117" t="s">
        <v>199</v>
      </c>
      <c r="E64" s="129">
        <f t="shared" si="15"/>
        <v>1</v>
      </c>
      <c r="F64" s="129">
        <f t="shared" si="15"/>
        <v>1</v>
      </c>
      <c r="G64" s="129">
        <f t="shared" si="15"/>
        <v>1</v>
      </c>
      <c r="H64" s="78">
        <f t="shared" si="15"/>
        <v>6</v>
      </c>
      <c r="I64" s="78">
        <f t="shared" si="15"/>
        <v>13</v>
      </c>
      <c r="J64" s="133" t="s">
        <v>319</v>
      </c>
    </row>
    <row r="65" spans="2:10" x14ac:dyDescent="0.25">
      <c r="B65" s="95"/>
      <c r="D65" s="95" t="s">
        <v>160</v>
      </c>
      <c r="E65" s="129">
        <f t="shared" si="15"/>
        <v>0</v>
      </c>
      <c r="F65" s="129">
        <f t="shared" si="15"/>
        <v>0</v>
      </c>
      <c r="G65" s="129">
        <f t="shared" si="15"/>
        <v>0</v>
      </c>
      <c r="H65" s="103">
        <f t="shared" si="15"/>
        <v>5</v>
      </c>
      <c r="I65" s="103">
        <f t="shared" si="15"/>
        <v>12</v>
      </c>
      <c r="J65" s="133" t="s">
        <v>319</v>
      </c>
    </row>
    <row r="66" spans="2:10" x14ac:dyDescent="0.25">
      <c r="B66" s="95"/>
      <c r="D66" s="95" t="s">
        <v>162</v>
      </c>
      <c r="E66" s="129">
        <f t="shared" si="15"/>
        <v>1</v>
      </c>
      <c r="F66" s="129">
        <f t="shared" si="15"/>
        <v>1</v>
      </c>
      <c r="G66" s="129">
        <f t="shared" si="15"/>
        <v>1</v>
      </c>
      <c r="H66" s="129">
        <f t="shared" si="15"/>
        <v>1</v>
      </c>
      <c r="I66" s="129">
        <f t="shared" si="15"/>
        <v>1</v>
      </c>
      <c r="J66" s="133" t="s">
        <v>319</v>
      </c>
    </row>
    <row r="67" spans="2:10" x14ac:dyDescent="0.25">
      <c r="B67" s="153"/>
      <c r="D67" s="243" t="s">
        <v>323</v>
      </c>
      <c r="E67" s="432"/>
      <c r="F67" s="432"/>
      <c r="G67" s="432"/>
      <c r="H67" s="432"/>
      <c r="I67" s="432"/>
      <c r="J67" s="432"/>
    </row>
    <row r="68" spans="2:10" x14ac:dyDescent="0.25">
      <c r="D68" s="153" t="s">
        <v>55</v>
      </c>
    </row>
    <row r="69" spans="2:10" x14ac:dyDescent="0.25">
      <c r="B69" s="117"/>
      <c r="D69" s="117" t="s">
        <v>146</v>
      </c>
      <c r="E69" s="163">
        <f t="shared" ref="E69:I72" si="16">E27</f>
        <v>0.3</v>
      </c>
      <c r="F69" s="163">
        <f t="shared" si="16"/>
        <v>0.3</v>
      </c>
      <c r="G69" s="163">
        <f t="shared" si="16"/>
        <v>0.3</v>
      </c>
      <c r="H69" s="144" t="str">
        <f t="shared" si="16"/>
        <v>n/a</v>
      </c>
      <c r="I69" s="144" t="str">
        <f t="shared" si="16"/>
        <v>n/a</v>
      </c>
    </row>
    <row r="70" spans="2:10" x14ac:dyDescent="0.25">
      <c r="B70" s="117"/>
      <c r="D70" s="117" t="s">
        <v>148</v>
      </c>
      <c r="E70" s="163">
        <f t="shared" si="16"/>
        <v>0.6</v>
      </c>
      <c r="F70" s="163">
        <f t="shared" si="16"/>
        <v>0.6</v>
      </c>
      <c r="G70" s="163">
        <f t="shared" si="16"/>
        <v>0.6</v>
      </c>
      <c r="H70" s="144" t="str">
        <f t="shared" si="16"/>
        <v>n/a</v>
      </c>
      <c r="I70" s="144" t="str">
        <f t="shared" si="16"/>
        <v>n/a</v>
      </c>
    </row>
    <row r="71" spans="2:10" x14ac:dyDescent="0.25">
      <c r="B71" s="117"/>
      <c r="D71" s="117" t="s">
        <v>149</v>
      </c>
      <c r="E71" s="163">
        <f t="shared" si="16"/>
        <v>0.1</v>
      </c>
      <c r="F71" s="163">
        <f t="shared" si="16"/>
        <v>0.1</v>
      </c>
      <c r="G71" s="163">
        <f t="shared" si="16"/>
        <v>0.1</v>
      </c>
      <c r="H71" s="144" t="str">
        <f t="shared" si="16"/>
        <v>n/a</v>
      </c>
      <c r="I71" s="144" t="str">
        <f t="shared" si="16"/>
        <v>n/a</v>
      </c>
    </row>
    <row r="72" spans="2:10" x14ac:dyDescent="0.25">
      <c r="B72" s="117"/>
      <c r="D72" s="117" t="s">
        <v>150</v>
      </c>
      <c r="E72" s="163">
        <f t="shared" si="16"/>
        <v>0</v>
      </c>
      <c r="F72" s="163">
        <f t="shared" si="16"/>
        <v>0</v>
      </c>
      <c r="G72" s="163">
        <f t="shared" si="16"/>
        <v>0</v>
      </c>
      <c r="H72" s="144" t="str">
        <f t="shared" si="16"/>
        <v>n/a</v>
      </c>
      <c r="I72" s="144" t="str">
        <f t="shared" si="16"/>
        <v>n/a</v>
      </c>
    </row>
    <row r="73" spans="2:10" x14ac:dyDescent="0.25">
      <c r="B73" s="141"/>
      <c r="D73" s="141" t="s">
        <v>325</v>
      </c>
      <c r="E73" s="163"/>
      <c r="F73" s="163"/>
      <c r="G73" s="163"/>
      <c r="H73" s="144"/>
      <c r="I73" s="144"/>
    </row>
    <row r="74" spans="2:10" x14ac:dyDescent="0.25">
      <c r="B74" s="117"/>
      <c r="D74" s="117" t="s">
        <v>146</v>
      </c>
      <c r="E74" s="143">
        <f t="shared" ref="E74:I77" si="17">E32</f>
        <v>550</v>
      </c>
      <c r="F74" s="143">
        <f t="shared" si="17"/>
        <v>550</v>
      </c>
      <c r="G74" s="143">
        <f t="shared" si="17"/>
        <v>550</v>
      </c>
      <c r="H74" s="143" t="str">
        <f t="shared" si="17"/>
        <v>n/a</v>
      </c>
      <c r="I74" s="143" t="str">
        <f t="shared" si="17"/>
        <v>n/a</v>
      </c>
      <c r="J74" s="133" t="s">
        <v>316</v>
      </c>
    </row>
    <row r="75" spans="2:10" x14ac:dyDescent="0.25">
      <c r="B75" s="117"/>
      <c r="D75" s="117" t="s">
        <v>148</v>
      </c>
      <c r="E75" s="143">
        <f t="shared" si="17"/>
        <v>700</v>
      </c>
      <c r="F75" s="143">
        <f t="shared" si="17"/>
        <v>700</v>
      </c>
      <c r="G75" s="143">
        <f t="shared" si="17"/>
        <v>700</v>
      </c>
      <c r="H75" s="143" t="str">
        <f t="shared" si="17"/>
        <v>n/a</v>
      </c>
      <c r="I75" s="143" t="str">
        <f t="shared" si="17"/>
        <v>n/a</v>
      </c>
      <c r="J75" s="133" t="s">
        <v>316</v>
      </c>
    </row>
    <row r="76" spans="2:10" x14ac:dyDescent="0.25">
      <c r="B76" s="117"/>
      <c r="D76" s="117" t="s">
        <v>149</v>
      </c>
      <c r="E76" s="143">
        <f t="shared" si="17"/>
        <v>900</v>
      </c>
      <c r="F76" s="143">
        <f t="shared" si="17"/>
        <v>900</v>
      </c>
      <c r="G76" s="143">
        <f t="shared" si="17"/>
        <v>900</v>
      </c>
      <c r="H76" s="143" t="str">
        <f t="shared" si="17"/>
        <v>n/a</v>
      </c>
      <c r="I76" s="143" t="str">
        <f t="shared" si="17"/>
        <v>n/a</v>
      </c>
      <c r="J76" s="133" t="s">
        <v>316</v>
      </c>
    </row>
    <row r="77" spans="2:10" x14ac:dyDescent="0.25">
      <c r="B77" s="117"/>
      <c r="D77" s="117" t="s">
        <v>150</v>
      </c>
      <c r="E77" s="143">
        <f t="shared" si="17"/>
        <v>1200</v>
      </c>
      <c r="F77" s="143">
        <f t="shared" si="17"/>
        <v>1200</v>
      </c>
      <c r="G77" s="143">
        <f t="shared" si="17"/>
        <v>1200</v>
      </c>
      <c r="H77" s="143" t="str">
        <f t="shared" si="17"/>
        <v>n/a</v>
      </c>
      <c r="I77" s="143" t="str">
        <f t="shared" si="17"/>
        <v>n/a</v>
      </c>
      <c r="J77" s="133" t="s">
        <v>316</v>
      </c>
    </row>
    <row r="78" spans="2:10" x14ac:dyDescent="0.25">
      <c r="B78" s="153"/>
      <c r="D78" s="243" t="s">
        <v>156</v>
      </c>
      <c r="E78" s="432"/>
      <c r="F78" s="432"/>
      <c r="G78" s="432"/>
      <c r="H78" s="432"/>
      <c r="I78" s="432"/>
      <c r="J78" s="432"/>
    </row>
    <row r="79" spans="2:10" x14ac:dyDescent="0.25">
      <c r="B79" s="79"/>
      <c r="D79" s="79" t="s">
        <v>326</v>
      </c>
      <c r="E79" s="129" t="str">
        <f>E37</f>
        <v>Structured</v>
      </c>
      <c r="F79" s="129" t="str">
        <f>F37</f>
        <v>Structured</v>
      </c>
      <c r="G79" s="129" t="str">
        <f>G37</f>
        <v>Structured</v>
      </c>
      <c r="H79" s="129" t="str">
        <f>H37</f>
        <v>Structured</v>
      </c>
      <c r="I79" s="129" t="str">
        <f>I37</f>
        <v>Structured</v>
      </c>
      <c r="J79" s="133" t="s">
        <v>328</v>
      </c>
    </row>
    <row r="80" spans="2:10" x14ac:dyDescent="0.25">
      <c r="B80" s="83"/>
      <c r="D80" s="83" t="s">
        <v>207</v>
      </c>
      <c r="E80" s="126"/>
      <c r="F80" s="126"/>
      <c r="G80" s="126"/>
      <c r="H80" s="126"/>
      <c r="I80" s="126"/>
    </row>
    <row r="81" spans="2:11" x14ac:dyDescent="0.25">
      <c r="B81" s="117"/>
      <c r="D81" s="117" t="s">
        <v>166</v>
      </c>
      <c r="E81" s="437">
        <f t="shared" ref="E81:I83" si="18">E39</f>
        <v>0.96499999999999997</v>
      </c>
      <c r="F81" s="437">
        <f t="shared" si="18"/>
        <v>0.87</v>
      </c>
      <c r="G81" s="437">
        <f t="shared" si="18"/>
        <v>0.94499999999999995</v>
      </c>
      <c r="H81" s="437" t="str">
        <f t="shared" si="18"/>
        <v>n/a</v>
      </c>
      <c r="I81" s="129" t="str">
        <f t="shared" si="18"/>
        <v>n/a</v>
      </c>
      <c r="J81" s="133" t="s">
        <v>329</v>
      </c>
    </row>
    <row r="82" spans="2:11" x14ac:dyDescent="0.25">
      <c r="B82" s="117"/>
      <c r="D82" s="117" t="s">
        <v>162</v>
      </c>
      <c r="E82" s="437">
        <f t="shared" si="18"/>
        <v>1</v>
      </c>
      <c r="F82" s="437">
        <f t="shared" si="18"/>
        <v>1</v>
      </c>
      <c r="G82" s="437">
        <f t="shared" si="18"/>
        <v>1</v>
      </c>
      <c r="H82" s="437">
        <f t="shared" si="18"/>
        <v>1</v>
      </c>
      <c r="I82" s="437">
        <f t="shared" si="18"/>
        <v>1</v>
      </c>
      <c r="J82" s="78" t="s">
        <v>330</v>
      </c>
      <c r="K82" s="78"/>
    </row>
    <row r="83" spans="2:11" ht="14.4" thickBot="1" x14ac:dyDescent="0.3">
      <c r="B83" s="117"/>
      <c r="D83" s="158" t="s">
        <v>160</v>
      </c>
      <c r="E83" s="322" t="str">
        <f t="shared" si="18"/>
        <v>n/a</v>
      </c>
      <c r="F83" s="322" t="str">
        <f t="shared" si="18"/>
        <v>n/a</v>
      </c>
      <c r="G83" s="322" t="str">
        <f t="shared" si="18"/>
        <v>n/a</v>
      </c>
      <c r="H83" s="322">
        <f t="shared" si="18"/>
        <v>2</v>
      </c>
      <c r="I83" s="322">
        <f t="shared" si="18"/>
        <v>2</v>
      </c>
      <c r="J83" s="459" t="s">
        <v>330</v>
      </c>
      <c r="K83" s="78"/>
    </row>
  </sheetData>
  <phoneticPr fontId="4"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98AFCAD-7D0A-44F3-B756-261514101307}">
          <x14:formula1>
            <xm:f>'Lookup Lists'!$P$2:$P$4</xm:f>
          </x14:formula1>
          <xm:sqref>E37:I37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2C8B-6C62-4F92-B016-04C4042B5175}">
  <sheetPr codeName="Sheet23">
    <tabColor theme="6"/>
  </sheetPr>
  <dimension ref="B2:K40"/>
  <sheetViews>
    <sheetView workbookViewId="0">
      <selection activeCell="G33" sqref="G33"/>
    </sheetView>
  </sheetViews>
  <sheetFormatPr defaultColWidth="8.69921875" defaultRowHeight="13.8" x14ac:dyDescent="0.25"/>
  <cols>
    <col min="1" max="1" width="4" style="133" customWidth="1"/>
    <col min="2" max="2" width="27.09765625" style="133" bestFit="1" customWidth="1"/>
    <col min="3" max="3" width="2.59765625" style="133" customWidth="1"/>
    <col min="4" max="4" width="28.8984375" style="133" bestFit="1" customWidth="1"/>
    <col min="5" max="5" width="8.69921875" style="133" customWidth="1"/>
    <col min="6" max="6" width="19" style="133" customWidth="1"/>
    <col min="7" max="7" width="11.5" style="133" customWidth="1"/>
    <col min="8" max="8" width="15.69921875" style="133" customWidth="1"/>
    <col min="9" max="9" width="15.8984375" style="133" customWidth="1"/>
    <col min="10" max="10" width="14.59765625" style="133" bestFit="1" customWidth="1"/>
    <col min="11" max="11" width="57" style="133" bestFit="1" customWidth="1"/>
    <col min="12" max="16384" width="8.69921875" style="133"/>
  </cols>
  <sheetData>
    <row r="2" spans="2:11" ht="14.4" thickBot="1" x14ac:dyDescent="0.3">
      <c r="C2" s="159"/>
      <c r="D2" s="153" t="s">
        <v>82</v>
      </c>
    </row>
    <row r="3" spans="2:11" ht="27.6" x14ac:dyDescent="0.25">
      <c r="B3" s="530" t="s">
        <v>246</v>
      </c>
      <c r="C3" s="78"/>
      <c r="D3" s="241" t="s">
        <v>211</v>
      </c>
      <c r="E3" s="242" t="str">
        <f>'Prototype Controls'!E5</f>
        <v>Urban Core</v>
      </c>
      <c r="F3" s="242" t="str">
        <f>'Prototype Controls'!F5</f>
        <v>Mixed-Use Residential Mid-rise</v>
      </c>
      <c r="G3" s="242" t="str">
        <f>'Prototype Controls'!G5</f>
        <v>Mixed-use High-rise</v>
      </c>
      <c r="H3" s="242" t="str">
        <f>'Prototype Controls'!H5</f>
        <v>Mixed-Use Office Mid-rise</v>
      </c>
      <c r="I3" s="242" t="str">
        <f>'Prototype Controls'!I5</f>
        <v>Medical Office High-rise</v>
      </c>
      <c r="J3" s="241" t="s">
        <v>145</v>
      </c>
      <c r="K3" s="241" t="s">
        <v>331</v>
      </c>
    </row>
    <row r="4" spans="2:11" x14ac:dyDescent="0.25">
      <c r="B4" s="469" t="s">
        <v>95</v>
      </c>
      <c r="C4" s="78"/>
      <c r="D4" s="243" t="s">
        <v>332</v>
      </c>
      <c r="E4" s="432"/>
      <c r="F4" s="432"/>
      <c r="G4" s="432"/>
      <c r="H4" s="432"/>
      <c r="I4" s="432"/>
      <c r="J4" s="432"/>
      <c r="K4" s="432"/>
    </row>
    <row r="5" spans="2:11" x14ac:dyDescent="0.25">
      <c r="B5" s="62" t="s">
        <v>601</v>
      </c>
      <c r="C5" s="78"/>
      <c r="D5" s="393" t="s">
        <v>146</v>
      </c>
      <c r="E5" s="448">
        <v>4.5</v>
      </c>
      <c r="F5" s="448">
        <v>4.2</v>
      </c>
      <c r="G5" s="448">
        <v>4.5</v>
      </c>
      <c r="H5" s="155" t="s">
        <v>324</v>
      </c>
      <c r="I5" s="155" t="s">
        <v>324</v>
      </c>
      <c r="J5" s="133" t="s">
        <v>147</v>
      </c>
      <c r="K5" s="619" t="s">
        <v>333</v>
      </c>
    </row>
    <row r="6" spans="2:11" x14ac:dyDescent="0.25">
      <c r="B6" s="137" t="s">
        <v>252</v>
      </c>
      <c r="C6" s="78"/>
      <c r="D6" s="393" t="s">
        <v>148</v>
      </c>
      <c r="E6" s="448">
        <v>4.2</v>
      </c>
      <c r="F6" s="448">
        <v>3.85</v>
      </c>
      <c r="G6" s="448">
        <v>4.2</v>
      </c>
      <c r="H6" s="155" t="s">
        <v>324</v>
      </c>
      <c r="I6" s="155" t="s">
        <v>324</v>
      </c>
      <c r="J6" s="133" t="s">
        <v>147</v>
      </c>
      <c r="K6" s="619"/>
    </row>
    <row r="7" spans="2:11" x14ac:dyDescent="0.25">
      <c r="D7" s="393" t="s">
        <v>149</v>
      </c>
      <c r="E7" s="448">
        <v>3.85</v>
      </c>
      <c r="F7" s="448">
        <v>3.65</v>
      </c>
      <c r="G7" s="448">
        <v>3.85</v>
      </c>
      <c r="H7" s="155" t="s">
        <v>324</v>
      </c>
      <c r="I7" s="155" t="s">
        <v>324</v>
      </c>
      <c r="J7" s="133" t="s">
        <v>147</v>
      </c>
      <c r="K7" s="619"/>
    </row>
    <row r="8" spans="2:11" x14ac:dyDescent="0.25">
      <c r="D8" s="393" t="s">
        <v>150</v>
      </c>
      <c r="E8" s="448">
        <v>3.65</v>
      </c>
      <c r="F8" s="448">
        <v>3.45</v>
      </c>
      <c r="G8" s="448">
        <v>3.65</v>
      </c>
      <c r="H8" s="155" t="s">
        <v>324</v>
      </c>
      <c r="I8" s="155" t="s">
        <v>324</v>
      </c>
      <c r="J8" s="133" t="s">
        <v>147</v>
      </c>
      <c r="K8" s="619"/>
    </row>
    <row r="9" spans="2:11" x14ac:dyDescent="0.25">
      <c r="D9" s="243" t="s">
        <v>334</v>
      </c>
      <c r="E9" s="432"/>
      <c r="F9" s="432"/>
      <c r="G9" s="432"/>
      <c r="H9" s="432"/>
      <c r="I9" s="432"/>
      <c r="J9" s="432"/>
      <c r="K9" s="432"/>
    </row>
    <row r="10" spans="2:11" x14ac:dyDescent="0.25">
      <c r="D10" s="393" t="s">
        <v>160</v>
      </c>
      <c r="E10" s="155" t="s">
        <v>324</v>
      </c>
      <c r="F10" s="155" t="s">
        <v>324</v>
      </c>
      <c r="G10" s="155" t="s">
        <v>324</v>
      </c>
      <c r="H10" s="448">
        <v>48</v>
      </c>
      <c r="I10" s="448">
        <v>45</v>
      </c>
      <c r="J10" s="133" t="s">
        <v>161</v>
      </c>
      <c r="K10" s="133" t="s">
        <v>335</v>
      </c>
    </row>
    <row r="11" spans="2:11" x14ac:dyDescent="0.25">
      <c r="D11" s="393" t="s">
        <v>162</v>
      </c>
      <c r="E11" s="448">
        <v>40</v>
      </c>
      <c r="F11" s="448">
        <v>40</v>
      </c>
      <c r="G11" s="448">
        <v>40</v>
      </c>
      <c r="H11" s="448">
        <v>40</v>
      </c>
      <c r="I11" s="448">
        <v>40</v>
      </c>
      <c r="J11" s="133" t="s">
        <v>163</v>
      </c>
      <c r="K11" s="133" t="s">
        <v>335</v>
      </c>
    </row>
    <row r="12" spans="2:11" x14ac:dyDescent="0.25">
      <c r="D12" s="243" t="s">
        <v>336</v>
      </c>
      <c r="E12" s="432"/>
      <c r="F12" s="432"/>
      <c r="G12" s="432"/>
      <c r="H12" s="432"/>
      <c r="I12" s="432"/>
      <c r="J12" s="432"/>
      <c r="K12" s="432"/>
    </row>
    <row r="13" spans="2:11" x14ac:dyDescent="0.25">
      <c r="D13" s="393" t="s">
        <v>160</v>
      </c>
      <c r="E13" s="155" t="s">
        <v>324</v>
      </c>
      <c r="F13" s="155" t="s">
        <v>324</v>
      </c>
      <c r="G13" s="155" t="s">
        <v>324</v>
      </c>
      <c r="H13" s="155" t="s">
        <v>324</v>
      </c>
      <c r="I13" s="155" t="s">
        <v>324</v>
      </c>
    </row>
    <row r="14" spans="2:11" x14ac:dyDescent="0.25">
      <c r="D14" s="393" t="s">
        <v>162</v>
      </c>
      <c r="E14" s="448">
        <v>20</v>
      </c>
      <c r="F14" s="448">
        <v>20</v>
      </c>
      <c r="G14" s="448">
        <v>20</v>
      </c>
      <c r="H14" s="448">
        <v>20</v>
      </c>
      <c r="I14" s="448">
        <v>20</v>
      </c>
      <c r="K14" s="133" t="s">
        <v>337</v>
      </c>
    </row>
    <row r="15" spans="2:11" x14ac:dyDescent="0.25">
      <c r="D15" s="243" t="s">
        <v>165</v>
      </c>
      <c r="E15" s="432"/>
      <c r="F15" s="432"/>
      <c r="G15" s="432"/>
      <c r="H15" s="432"/>
      <c r="I15" s="432"/>
      <c r="J15" s="432"/>
      <c r="K15" s="432"/>
    </row>
    <row r="16" spans="2:11" x14ac:dyDescent="0.25">
      <c r="D16" s="153" t="s">
        <v>166</v>
      </c>
    </row>
    <row r="17" spans="4:11" x14ac:dyDescent="0.25">
      <c r="D17" s="393" t="s">
        <v>338</v>
      </c>
      <c r="E17" s="448">
        <v>50</v>
      </c>
      <c r="F17" s="448">
        <v>50</v>
      </c>
      <c r="G17" s="448">
        <v>50</v>
      </c>
      <c r="H17" s="155" t="s">
        <v>324</v>
      </c>
      <c r="I17" s="155" t="s">
        <v>324</v>
      </c>
      <c r="J17" s="133" t="s">
        <v>167</v>
      </c>
      <c r="K17" s="133" t="s">
        <v>339</v>
      </c>
    </row>
    <row r="18" spans="4:11" x14ac:dyDescent="0.25">
      <c r="D18" s="393" t="s">
        <v>327</v>
      </c>
      <c r="E18" s="448">
        <v>235</v>
      </c>
      <c r="F18" s="448">
        <v>235</v>
      </c>
      <c r="G18" s="448">
        <v>235</v>
      </c>
      <c r="H18" s="155" t="s">
        <v>324</v>
      </c>
      <c r="I18" s="155" t="s">
        <v>324</v>
      </c>
      <c r="J18" s="133" t="s">
        <v>167</v>
      </c>
      <c r="K18" s="133" t="s">
        <v>339</v>
      </c>
    </row>
    <row r="19" spans="4:11" x14ac:dyDescent="0.25">
      <c r="D19" s="153" t="s">
        <v>160</v>
      </c>
    </row>
    <row r="20" spans="4:11" x14ac:dyDescent="0.25">
      <c r="D20" s="393" t="s">
        <v>338</v>
      </c>
      <c r="E20" s="155" t="s">
        <v>324</v>
      </c>
      <c r="F20" s="155" t="s">
        <v>324</v>
      </c>
      <c r="G20" s="155" t="s">
        <v>324</v>
      </c>
      <c r="H20" s="449">
        <v>50</v>
      </c>
      <c r="I20" s="449">
        <v>50</v>
      </c>
      <c r="J20" s="133" t="s">
        <v>167</v>
      </c>
      <c r="K20" s="133" t="s">
        <v>339</v>
      </c>
    </row>
    <row r="21" spans="4:11" x14ac:dyDescent="0.25">
      <c r="D21" s="393" t="s">
        <v>327</v>
      </c>
      <c r="E21" s="155" t="s">
        <v>324</v>
      </c>
      <c r="F21" s="155" t="s">
        <v>324</v>
      </c>
      <c r="G21" s="155" t="s">
        <v>324</v>
      </c>
      <c r="H21" s="449">
        <v>200</v>
      </c>
      <c r="I21" s="449">
        <v>200</v>
      </c>
      <c r="J21" s="133" t="s">
        <v>167</v>
      </c>
      <c r="K21" s="133" t="s">
        <v>339</v>
      </c>
    </row>
    <row r="22" spans="4:11" x14ac:dyDescent="0.25">
      <c r="D22" s="243" t="s">
        <v>169</v>
      </c>
      <c r="E22" s="432"/>
      <c r="F22" s="432"/>
      <c r="G22" s="432"/>
      <c r="H22" s="432"/>
      <c r="I22" s="432"/>
      <c r="J22" s="432"/>
      <c r="K22" s="432"/>
    </row>
    <row r="23" spans="4:11" x14ac:dyDescent="0.25">
      <c r="D23" s="393" t="s">
        <v>166</v>
      </c>
      <c r="E23" s="456">
        <v>0.05</v>
      </c>
      <c r="F23" s="456">
        <v>0.05</v>
      </c>
      <c r="G23" s="457">
        <v>0.05</v>
      </c>
      <c r="H23" s="450" t="s">
        <v>324</v>
      </c>
      <c r="I23" s="451" t="s">
        <v>324</v>
      </c>
      <c r="K23" s="133" t="s">
        <v>337</v>
      </c>
    </row>
    <row r="24" spans="4:11" x14ac:dyDescent="0.25">
      <c r="D24" s="393" t="s">
        <v>160</v>
      </c>
      <c r="E24" s="452" t="s">
        <v>324</v>
      </c>
      <c r="F24" s="452" t="s">
        <v>324</v>
      </c>
      <c r="G24" s="452" t="s">
        <v>324</v>
      </c>
      <c r="H24" s="456">
        <v>0.1</v>
      </c>
      <c r="I24" s="456">
        <v>0.1</v>
      </c>
      <c r="K24" s="133" t="s">
        <v>337</v>
      </c>
    </row>
    <row r="25" spans="4:11" x14ac:dyDescent="0.25">
      <c r="D25" s="393" t="s">
        <v>162</v>
      </c>
      <c r="E25" s="456">
        <v>0.2</v>
      </c>
      <c r="F25" s="456">
        <v>0.2</v>
      </c>
      <c r="G25" s="456">
        <v>0.2</v>
      </c>
      <c r="H25" s="456">
        <v>0.2</v>
      </c>
      <c r="I25" s="456">
        <v>0.2</v>
      </c>
      <c r="K25" s="133" t="s">
        <v>337</v>
      </c>
    </row>
    <row r="26" spans="4:11" x14ac:dyDescent="0.25">
      <c r="D26" s="243" t="s">
        <v>340</v>
      </c>
      <c r="E26" s="432"/>
      <c r="F26" s="432"/>
      <c r="G26" s="432"/>
      <c r="H26" s="432"/>
      <c r="I26" s="432"/>
      <c r="J26" s="432"/>
      <c r="K26" s="432"/>
    </row>
    <row r="27" spans="4:11" x14ac:dyDescent="0.25">
      <c r="D27" s="133" t="s">
        <v>177</v>
      </c>
      <c r="E27" s="453">
        <v>468.35</v>
      </c>
      <c r="F27" s="453">
        <v>314.07000000000005</v>
      </c>
      <c r="G27" s="453">
        <v>468.35</v>
      </c>
      <c r="H27" s="453">
        <v>340</v>
      </c>
      <c r="I27" s="453">
        <v>400</v>
      </c>
      <c r="J27" s="133" t="s">
        <v>341</v>
      </c>
      <c r="K27" s="133" t="s">
        <v>342</v>
      </c>
    </row>
    <row r="28" spans="4:11" x14ac:dyDescent="0.25">
      <c r="D28" s="133" t="s">
        <v>343</v>
      </c>
      <c r="E28" s="453">
        <v>99180.000000000015</v>
      </c>
      <c r="F28" s="453">
        <v>82650</v>
      </c>
      <c r="G28" s="453">
        <v>82650</v>
      </c>
      <c r="H28" s="453">
        <v>82650</v>
      </c>
      <c r="I28" s="453">
        <v>99180</v>
      </c>
      <c r="J28" s="133" t="s">
        <v>344</v>
      </c>
      <c r="K28" s="133" t="s">
        <v>339</v>
      </c>
    </row>
    <row r="29" spans="4:11" x14ac:dyDescent="0.25">
      <c r="D29" s="243" t="s">
        <v>345</v>
      </c>
      <c r="E29" s="432"/>
      <c r="F29" s="432"/>
      <c r="G29" s="432"/>
      <c r="H29" s="432"/>
      <c r="I29" s="432"/>
      <c r="J29" s="432"/>
      <c r="K29" s="432"/>
    </row>
    <row r="30" spans="4:11" x14ac:dyDescent="0.25">
      <c r="D30" s="133" t="s">
        <v>185</v>
      </c>
      <c r="E30" s="454">
        <v>4.7500000000000001E-2</v>
      </c>
      <c r="F30" s="454">
        <v>4.7500000000000001E-2</v>
      </c>
      <c r="G30" s="454">
        <v>4.7500000000000001E-2</v>
      </c>
      <c r="H30" s="454">
        <v>7.0000000000000007E-2</v>
      </c>
      <c r="I30" s="454">
        <v>7.0000000000000007E-2</v>
      </c>
      <c r="K30" s="133" t="s">
        <v>346</v>
      </c>
    </row>
    <row r="31" spans="4:11" ht="14.4" thickBot="1" x14ac:dyDescent="0.3">
      <c r="D31" s="246" t="s">
        <v>347</v>
      </c>
      <c r="E31" s="455">
        <v>7.4999999999999997E-2</v>
      </c>
      <c r="F31" s="455">
        <v>7.4999999999999997E-2</v>
      </c>
      <c r="G31" s="455">
        <v>7.4999999999999997E-2</v>
      </c>
      <c r="H31" s="455">
        <v>7.4999999999999997E-2</v>
      </c>
      <c r="I31" s="455">
        <v>7.4999999999999997E-2</v>
      </c>
      <c r="J31" s="246"/>
      <c r="K31" s="246" t="s">
        <v>339</v>
      </c>
    </row>
    <row r="33" spans="5:7" x14ac:dyDescent="0.25">
      <c r="E33" s="247"/>
      <c r="F33" s="247"/>
      <c r="G33" s="247"/>
    </row>
    <row r="34" spans="5:7" x14ac:dyDescent="0.25">
      <c r="E34" s="247"/>
      <c r="F34" s="247"/>
      <c r="G34" s="247"/>
    </row>
    <row r="36" spans="5:7" x14ac:dyDescent="0.25">
      <c r="E36" s="247"/>
      <c r="F36" s="247"/>
      <c r="G36" s="247"/>
    </row>
    <row r="37" spans="5:7" x14ac:dyDescent="0.25">
      <c r="E37" s="247"/>
      <c r="F37" s="247"/>
      <c r="G37" s="247"/>
    </row>
    <row r="39" spans="5:7" x14ac:dyDescent="0.25">
      <c r="E39" s="247"/>
      <c r="F39" s="247"/>
      <c r="G39" s="247"/>
    </row>
    <row r="40" spans="5:7" x14ac:dyDescent="0.25">
      <c r="E40" s="247"/>
      <c r="F40" s="247"/>
      <c r="G40" s="247"/>
    </row>
  </sheetData>
  <mergeCells count="1">
    <mergeCell ref="K5:K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F710-01EF-4A56-8460-04A0D2168F9A}">
  <sheetPr codeName="Sheet11">
    <tabColor theme="5"/>
  </sheetPr>
  <dimension ref="A1:T64"/>
  <sheetViews>
    <sheetView workbookViewId="0">
      <selection activeCell="O40" sqref="O40:P46"/>
    </sheetView>
  </sheetViews>
  <sheetFormatPr defaultColWidth="8.69921875" defaultRowHeight="13.8" x14ac:dyDescent="0.25"/>
  <cols>
    <col min="1" max="1" width="31.19921875" style="78" customWidth="1"/>
    <col min="2" max="2" width="10.19921875" style="78" customWidth="1"/>
    <col min="3" max="3" width="18.69921875" style="78" customWidth="1"/>
    <col min="4" max="4" width="14.19921875" style="78" bestFit="1" customWidth="1"/>
    <col min="5" max="5" width="14.19921875" style="78" customWidth="1"/>
    <col min="6" max="6" width="14.5" style="78" customWidth="1"/>
    <col min="7" max="7" width="13.5" style="78" customWidth="1"/>
    <col min="8" max="8" width="8.69921875" style="78"/>
    <col min="9" max="9" width="46.59765625" style="78" customWidth="1"/>
    <col min="10" max="10" width="16" style="78" bestFit="1" customWidth="1"/>
    <col min="11" max="11" width="14.19921875" style="78" bestFit="1" customWidth="1"/>
    <col min="12" max="12" width="15.09765625" style="78" bestFit="1" customWidth="1"/>
    <col min="13" max="13" width="14.09765625" style="78" bestFit="1" customWidth="1"/>
    <col min="14" max="14" width="7.09765625" style="78" customWidth="1"/>
    <col min="15" max="15" width="36.5" style="78" bestFit="1" customWidth="1"/>
    <col min="16" max="16" width="9" style="78" bestFit="1" customWidth="1"/>
    <col min="17" max="17" width="14.09765625" style="78" bestFit="1" customWidth="1"/>
    <col min="18" max="18" width="8.69921875" style="78" bestFit="1" customWidth="1"/>
    <col min="19" max="19" width="14.09765625" style="78" bestFit="1" customWidth="1"/>
    <col min="20" max="16384" width="8.69921875" style="78"/>
  </cols>
  <sheetData>
    <row r="1" spans="1:16" x14ac:dyDescent="0.25">
      <c r="A1" s="87"/>
      <c r="B1" s="83"/>
      <c r="C1" s="87"/>
      <c r="D1" s="87"/>
      <c r="E1" s="88"/>
      <c r="F1" s="88"/>
      <c r="G1" s="88"/>
      <c r="H1" s="88"/>
      <c r="I1" s="87" t="s">
        <v>348</v>
      </c>
      <c r="J1" s="88"/>
      <c r="K1" s="88"/>
      <c r="L1" s="88"/>
      <c r="M1" s="88"/>
      <c r="N1" s="88"/>
      <c r="O1" s="88"/>
      <c r="P1" s="88"/>
    </row>
    <row r="2" spans="1:16" x14ac:dyDescent="0.25">
      <c r="A2" s="87" t="s">
        <v>211</v>
      </c>
      <c r="B2" s="89" t="str">
        <f>'Model Controls'!$E$2</f>
        <v>Mixed-Use Residential Mid-rise</v>
      </c>
      <c r="C2" s="88"/>
      <c r="D2" s="88"/>
      <c r="E2" s="88"/>
      <c r="F2" s="88"/>
      <c r="G2" s="88"/>
      <c r="H2" s="88"/>
      <c r="I2" s="90" t="s">
        <v>349</v>
      </c>
      <c r="J2" s="91" t="s">
        <v>350</v>
      </c>
      <c r="K2" s="91" t="s">
        <v>351</v>
      </c>
      <c r="L2" s="88"/>
      <c r="M2" s="88"/>
      <c r="N2" s="88"/>
      <c r="O2" s="88"/>
      <c r="P2" s="88"/>
    </row>
    <row r="3" spans="1:16" x14ac:dyDescent="0.25">
      <c r="A3" s="92"/>
      <c r="B3" s="93"/>
      <c r="C3" s="88"/>
      <c r="D3" s="88"/>
      <c r="E3" s="88"/>
      <c r="F3" s="88"/>
      <c r="G3" s="88"/>
      <c r="H3" s="88"/>
      <c r="I3" s="92" t="s">
        <v>352</v>
      </c>
      <c r="K3" s="94">
        <f>G21</f>
        <v>4305480</v>
      </c>
      <c r="L3" s="347"/>
      <c r="M3" s="88"/>
      <c r="N3" s="88"/>
      <c r="O3" s="88"/>
      <c r="P3" s="88"/>
    </row>
    <row r="4" spans="1:16" x14ac:dyDescent="0.25">
      <c r="A4" s="83" t="s">
        <v>353</v>
      </c>
      <c r="D4" s="88"/>
      <c r="E4" s="88"/>
      <c r="F4" s="88"/>
      <c r="G4" s="88"/>
      <c r="H4" s="88"/>
      <c r="I4" s="92" t="s">
        <v>354</v>
      </c>
      <c r="K4" s="94" t="str">
        <f>G27</f>
        <v>n/a</v>
      </c>
      <c r="L4" s="347"/>
      <c r="M4" s="88"/>
      <c r="N4" s="88"/>
      <c r="O4" s="88"/>
      <c r="P4" s="88"/>
    </row>
    <row r="5" spans="1:16" x14ac:dyDescent="0.25">
      <c r="A5" s="87" t="s">
        <v>193</v>
      </c>
      <c r="B5" s="93" cm="1">
        <f t="array" ref="B5">INDEX('Prototype Inputs'!$C$14:$G$14,0,MATCH(Model_Baseline!$B$2,'Prototype Inputs'!$C$10:$G$10,0))</f>
        <v>62000</v>
      </c>
      <c r="C5" s="88" t="str">
        <f>'Prototype Inputs'!H76</f>
        <v>square feet</v>
      </c>
      <c r="H5" s="88"/>
      <c r="I5" s="95" t="s">
        <v>355</v>
      </c>
      <c r="K5" s="96" t="str">
        <f>G31</f>
        <v>n/a</v>
      </c>
      <c r="L5" s="347"/>
      <c r="M5" s="88"/>
      <c r="N5" s="88"/>
      <c r="O5" s="88"/>
      <c r="P5" s="88"/>
    </row>
    <row r="6" spans="1:16" x14ac:dyDescent="0.25">
      <c r="A6" s="87" t="s">
        <v>356</v>
      </c>
      <c r="B6" s="93" cm="1">
        <f t="array" ref="B6">B5-(INDEX('Prototype Inputs'!$C$13:$G$13,0,MATCH(Model_Baseline!$B$2,'Prototype Inputs'!$C$10:$G$10,0))*$B$5)</f>
        <v>40300</v>
      </c>
      <c r="H6" s="88"/>
      <c r="I6" s="92" t="s">
        <v>357</v>
      </c>
      <c r="K6" s="97">
        <f>SUM(G32:G33)</f>
        <v>737800</v>
      </c>
      <c r="L6" s="347"/>
      <c r="M6" s="88"/>
      <c r="N6" s="88"/>
      <c r="O6" s="88"/>
      <c r="P6" s="88"/>
    </row>
    <row r="7" spans="1:16" x14ac:dyDescent="0.25">
      <c r="A7" s="98" t="s">
        <v>182</v>
      </c>
      <c r="B7" s="99" cm="1">
        <f t="array" ref="B7">INDEX('Model Inputs'!$D$55:$H$55,0,MATCH(Model_Baseline!$B$2,'Model Inputs'!$D$3:$H$3,0))</f>
        <v>1</v>
      </c>
      <c r="C7" s="78" t="s">
        <v>358</v>
      </c>
      <c r="H7" s="88"/>
      <c r="I7" s="92" t="s">
        <v>359</v>
      </c>
      <c r="K7" s="97">
        <f>G47</f>
        <v>332760</v>
      </c>
      <c r="L7" s="347"/>
      <c r="M7" s="88"/>
      <c r="N7" s="88"/>
      <c r="O7" s="88"/>
      <c r="P7" s="88"/>
    </row>
    <row r="8" spans="1:16" x14ac:dyDescent="0.25">
      <c r="A8" s="98" t="s">
        <v>106</v>
      </c>
      <c r="B8" s="352">
        <f>'Model Controls'!$E$42</f>
        <v>0.1</v>
      </c>
      <c r="C8" s="78" t="s">
        <v>358</v>
      </c>
      <c r="H8" s="88"/>
      <c r="I8" s="92" t="s">
        <v>360</v>
      </c>
      <c r="K8" s="97">
        <f>SUM(K3:K7)</f>
        <v>5376040</v>
      </c>
      <c r="L8" s="347"/>
      <c r="M8" s="88"/>
      <c r="N8" s="88"/>
      <c r="O8" s="88"/>
      <c r="P8" s="88"/>
    </row>
    <row r="9" spans="1:16" x14ac:dyDescent="0.25">
      <c r="A9" s="87" t="s">
        <v>361</v>
      </c>
      <c r="B9" s="93" cm="1">
        <f t="array" ref="B9">INDEX('Prototype Inputs'!$C$15:$G$15,0,MATCH(Model_Baseline!$B$2,'Prototype Inputs'!$C$10:$G$10,0))</f>
        <v>130200</v>
      </c>
      <c r="H9" s="88"/>
      <c r="I9" s="90" t="s">
        <v>362</v>
      </c>
      <c r="J9" s="100"/>
      <c r="K9" s="97"/>
      <c r="L9" s="88"/>
      <c r="M9" s="88"/>
      <c r="N9" s="88"/>
      <c r="O9" s="88"/>
      <c r="P9" s="88"/>
    </row>
    <row r="10" spans="1:16" x14ac:dyDescent="0.25">
      <c r="A10" s="87" t="s">
        <v>231</v>
      </c>
      <c r="B10" s="101" cm="1">
        <f t="array" ref="B10">INDEX('Prototype Inputs'!$C$36:$G$36,0,MATCH(Model_Baseline!$B$2,'Prototype Inputs'!$C$10:$G$10,0))</f>
        <v>136</v>
      </c>
      <c r="H10" s="88"/>
      <c r="I10" s="92" t="s">
        <v>363</v>
      </c>
      <c r="J10" s="204" cm="1">
        <f t="array" ref="J10">INDEX('Model Inputs'!$D$38:$H$38,0,MATCH($B$2,'Model Inputs'!$D$3:$H$3,0))</f>
        <v>0.05</v>
      </c>
      <c r="K10" s="94">
        <f>IFERROR(-(SUM(K3:K4)*J10),"n/a")</f>
        <v>-215274</v>
      </c>
      <c r="M10" s="88"/>
      <c r="N10" s="88"/>
      <c r="O10" s="88"/>
      <c r="P10" s="88"/>
    </row>
    <row r="11" spans="1:16" x14ac:dyDescent="0.25">
      <c r="A11" s="87" t="s">
        <v>364</v>
      </c>
      <c r="B11" s="93" cm="1">
        <f t="array" ref="B11">INDEX('Prototype Inputs'!$C$57:$G$57,0,MATCH(Model_Baseline!$B$2,'Prototype Inputs'!$C$10:$G$10,0))</f>
        <v>136</v>
      </c>
      <c r="C11" s="554"/>
      <c r="D11" s="354"/>
      <c r="H11" s="88"/>
      <c r="I11" s="92" t="s">
        <v>160</v>
      </c>
      <c r="J11" s="204" t="str" cm="1">
        <f t="array" ref="J11">INDEX('Model Inputs'!$D$39:$H$39,0,MATCH($B$2,'Model Inputs'!$D$3:$H$3,0))</f>
        <v>n/a</v>
      </c>
      <c r="K11" s="94" t="str">
        <f>IFERROR(-(K5*J11),"n/a")</f>
        <v>n/a</v>
      </c>
      <c r="L11" s="466"/>
      <c r="M11" s="467"/>
      <c r="N11" s="88"/>
      <c r="O11" s="88"/>
      <c r="P11" s="88"/>
    </row>
    <row r="12" spans="1:16" x14ac:dyDescent="0.25">
      <c r="A12" s="117" t="s">
        <v>338</v>
      </c>
      <c r="B12" s="93" cm="1">
        <f t="array" ref="B12">INDEX('Prototype Inputs'!$C$62:$G$62,0,MATCH(Model_Baseline!$B$2,'Prototype Inputs'!$C$10:$G$10,0))</f>
        <v>0</v>
      </c>
      <c r="H12" s="88"/>
      <c r="I12" s="92" t="s">
        <v>162</v>
      </c>
      <c r="J12" s="128" cm="1">
        <f t="array" ref="J12">INDEX('Model Inputs'!$D$40:$H$40,0,MATCH($B$2,'Model Inputs'!$D$3:$H$3,0))</f>
        <v>0.2</v>
      </c>
      <c r="K12" s="97">
        <f>-(K6*J12)</f>
        <v>-147560</v>
      </c>
      <c r="L12" s="466"/>
      <c r="M12" s="88"/>
      <c r="N12" s="88"/>
      <c r="O12" s="88"/>
      <c r="P12" s="88"/>
    </row>
    <row r="13" spans="1:16" x14ac:dyDescent="0.25">
      <c r="A13" s="117" t="s">
        <v>327</v>
      </c>
      <c r="B13" s="93" cm="1">
        <f t="array" ref="B13">INDEX('Prototype Inputs'!$C$63:$G$63,0,MATCH(Model_Baseline!$B$2,'Prototype Inputs'!$C$10:$G$10,0))</f>
        <v>136</v>
      </c>
      <c r="H13" s="88"/>
      <c r="I13" s="95" t="s">
        <v>156</v>
      </c>
      <c r="J13" s="204" cm="1">
        <f t="array" ref="J13">IF(OR('Model Controls'!$E$2='Lookup Lists'!$B$5,'Model Controls'!$E$2='Lookup Lists'!$B$6),INDEX('Model Inputs'!$D$39:$H$39,0,MATCH($B$2,'Model Inputs'!$D$3:$H$3,0)),INDEX('Model Inputs'!$D$38:$H$38,0,MATCH($B$2,'Model Inputs'!$D$3:$H$3,0)))</f>
        <v>0.05</v>
      </c>
      <c r="K13" s="94">
        <f>IFERROR(-(K7*J13),"n/a")</f>
        <v>-16638</v>
      </c>
      <c r="L13" s="466"/>
      <c r="M13" s="91"/>
      <c r="N13" s="87"/>
      <c r="O13" s="88"/>
      <c r="P13" s="88"/>
    </row>
    <row r="14" spans="1:16" x14ac:dyDescent="0.25">
      <c r="H14" s="88"/>
      <c r="I14" s="90" t="s">
        <v>365</v>
      </c>
      <c r="J14" s="109"/>
      <c r="K14" s="97">
        <f>SUM(K8:K13)</f>
        <v>4996568</v>
      </c>
      <c r="L14" s="88"/>
      <c r="M14" s="88"/>
      <c r="N14" s="88"/>
      <c r="O14" s="88"/>
      <c r="P14" s="88"/>
    </row>
    <row r="15" spans="1:16" x14ac:dyDescent="0.25">
      <c r="A15" s="87" t="s">
        <v>366</v>
      </c>
      <c r="B15" s="91" t="s">
        <v>231</v>
      </c>
      <c r="C15" s="201" t="s">
        <v>367</v>
      </c>
      <c r="D15" s="91" t="s">
        <v>368</v>
      </c>
      <c r="E15" s="201" t="s">
        <v>369</v>
      </c>
      <c r="F15" s="201" t="s">
        <v>370</v>
      </c>
      <c r="G15" s="201" t="s">
        <v>371</v>
      </c>
      <c r="H15" s="88"/>
      <c r="I15" s="90" t="s">
        <v>372</v>
      </c>
      <c r="J15" s="128" cm="1">
        <f t="array" ref="J15">INDEX('Model Inputs'!$D$41:$H$41,0,MATCH(Model_Baseline!$B$2,'Model Inputs'!$D$3:$H$3,0))</f>
        <v>0.3</v>
      </c>
      <c r="K15" s="97">
        <f>K14*J15</f>
        <v>1498970.4</v>
      </c>
      <c r="L15" s="88"/>
      <c r="N15" s="88"/>
      <c r="O15" s="87" t="s">
        <v>373</v>
      </c>
      <c r="P15" s="88"/>
    </row>
    <row r="16" spans="1:16" ht="14.4" thickBot="1" x14ac:dyDescent="0.3">
      <c r="A16" s="64" t="s">
        <v>374</v>
      </c>
      <c r="B16" s="47"/>
      <c r="C16" s="47"/>
      <c r="D16" s="47"/>
      <c r="E16" s="47"/>
      <c r="F16" s="47"/>
      <c r="G16" s="47"/>
      <c r="H16" s="88"/>
      <c r="I16" s="90" t="s">
        <v>375</v>
      </c>
      <c r="J16" s="97"/>
      <c r="K16" s="106">
        <f>K14-K15</f>
        <v>3497597.6</v>
      </c>
      <c r="L16" s="347"/>
      <c r="M16" s="88"/>
      <c r="N16" s="88"/>
      <c r="P16" s="88"/>
    </row>
    <row r="17" spans="1:19" x14ac:dyDescent="0.25">
      <c r="A17" s="102" t="s">
        <v>146</v>
      </c>
      <c r="B17" s="103">
        <f>IFERROR(INDEX('Unit Mix'!$C$12:$G$15,MATCH(Model_Baseline!$A17,'Unit Mix'!$B$12:$B$15,0),MATCH(Model_Baseline!$B$2,'Unit Mix'!$C$4:$G$4,0)),"n/a")</f>
        <v>40</v>
      </c>
      <c r="C17" s="103">
        <f>INDEX('Prototype Inputs'!$C$47:$G$50,MATCH(Model_Baseline!$A17,'Prototype Inputs'!$B$47:$B$50,0),MATCH(Model_Baseline!$B$2,'Prototype Inputs'!$C$10:$G$10,0))</f>
        <v>550</v>
      </c>
      <c r="D17" s="104">
        <f>INDEX('Model Inputs'!$D$5:$H$8,MATCH($A17,'Model Inputs'!$C$5:$C$8,0),MATCH($B$2,'Model Inputs'!$D$3:$H$3,0))</f>
        <v>4.2</v>
      </c>
      <c r="E17" s="96">
        <f>IFERROR(D17*C17,"n/a")</f>
        <v>2310</v>
      </c>
      <c r="F17" s="96">
        <f>IFERROR(E17*B17,"n/a")</f>
        <v>92400</v>
      </c>
      <c r="G17" s="105">
        <f>IFERROR(F17*12,"n/a")</f>
        <v>1108800</v>
      </c>
      <c r="H17" s="88"/>
      <c r="I17" s="88"/>
      <c r="J17" s="88"/>
      <c r="K17" s="88"/>
      <c r="L17" s="88"/>
      <c r="M17" s="88"/>
      <c r="O17" s="374" t="s">
        <v>376</v>
      </c>
      <c r="P17" s="373" t="s">
        <v>350</v>
      </c>
      <c r="Q17" s="373" t="s">
        <v>157</v>
      </c>
      <c r="R17" s="373" t="s">
        <v>350</v>
      </c>
      <c r="S17" s="140" t="s">
        <v>157</v>
      </c>
    </row>
    <row r="18" spans="1:19" x14ac:dyDescent="0.25">
      <c r="A18" s="102" t="s">
        <v>148</v>
      </c>
      <c r="B18" s="103">
        <f>IFERROR(INDEX('Unit Mix'!$C$12:$G$15,MATCH(Model_Baseline!$A18,'Unit Mix'!$B$12:$B$15,0),MATCH(Model_Baseline!$B$2,'Unit Mix'!$C$4:$G$4,0)),"n/a")</f>
        <v>83</v>
      </c>
      <c r="C18" s="103">
        <f>INDEX('Prototype Inputs'!$C$47:$G$50,MATCH(Model_Baseline!$A18,'Prototype Inputs'!$B$47:$B$50,0),MATCH(Model_Baseline!$B$2,'Prototype Inputs'!$C$10:$G$10,0))</f>
        <v>700</v>
      </c>
      <c r="D18" s="104">
        <f>INDEX('Model Inputs'!$D$5:$H$8,MATCH($A18,'Model Inputs'!$C$5:$C$8,0),MATCH($B$2,'Model Inputs'!$D$3:$H$3,0))</f>
        <v>3.85</v>
      </c>
      <c r="E18" s="96">
        <f t="shared" ref="E18:E20" si="0">IFERROR(D18*C18,"n/a")</f>
        <v>2695</v>
      </c>
      <c r="F18" s="96">
        <f>IFERROR(E18*B18,"n/a")</f>
        <v>223685</v>
      </c>
      <c r="G18" s="105">
        <f>IFERROR(F18*12,"n/a")</f>
        <v>2684220</v>
      </c>
      <c r="H18" s="88"/>
      <c r="I18" s="107" t="s">
        <v>376</v>
      </c>
      <c r="J18" s="91" t="s">
        <v>350</v>
      </c>
      <c r="K18" s="91" t="s">
        <v>157</v>
      </c>
      <c r="L18" s="91" t="s">
        <v>377</v>
      </c>
      <c r="M18" s="347"/>
      <c r="O18" s="108" t="s">
        <v>177</v>
      </c>
      <c r="P18" s="97">
        <f>J19+25</f>
        <v>339.07000000000005</v>
      </c>
      <c r="Q18" s="109">
        <f>P18*$B9</f>
        <v>44146914.000000007</v>
      </c>
      <c r="R18" s="97">
        <f>J19-25</f>
        <v>289.07000000000005</v>
      </c>
      <c r="S18" s="109">
        <f>R18*$B9</f>
        <v>37636914.000000007</v>
      </c>
    </row>
    <row r="19" spans="1:19" x14ac:dyDescent="0.25">
      <c r="A19" s="102" t="s">
        <v>149</v>
      </c>
      <c r="B19" s="103">
        <f>IFERROR(INDEX('Unit Mix'!$C$12:$G$15,MATCH(Model_Baseline!$A19,'Unit Mix'!$B$12:$B$15,0),MATCH(Model_Baseline!$B$2,'Unit Mix'!$C$4:$G$4,0)),"n/a")</f>
        <v>13</v>
      </c>
      <c r="C19" s="103">
        <f>INDEX('Prototype Inputs'!$C$47:$G$50,MATCH(Model_Baseline!$A19,'Prototype Inputs'!$B$47:$B$50,0),MATCH(Model_Baseline!$B$2,'Prototype Inputs'!$C$10:$G$10,0))</f>
        <v>900</v>
      </c>
      <c r="D19" s="104">
        <f>INDEX('Model Inputs'!$D$5:$H$8,MATCH($A19,'Model Inputs'!$C$5:$C$8,0),MATCH($B$2,'Model Inputs'!$D$3:$H$3,0))</f>
        <v>3.65</v>
      </c>
      <c r="E19" s="96">
        <f t="shared" si="0"/>
        <v>3285</v>
      </c>
      <c r="F19" s="96">
        <f t="shared" ref="F19:F20" si="1">IFERROR(E19*B19,"n/a")</f>
        <v>42705</v>
      </c>
      <c r="G19" s="105">
        <f t="shared" ref="G19:G20" si="2">IFERROR(F19*12,"n/a")</f>
        <v>512460</v>
      </c>
      <c r="H19" s="88"/>
      <c r="I19" s="108" t="s">
        <v>177</v>
      </c>
      <c r="J19" s="109" cm="1">
        <f t="array" ref="J19">INDEX('Model Inputs'!$D$47:$H$47,0,MATCH(Model_Baseline!$B$2,'Model Inputs'!$D$3:$H$3,0))</f>
        <v>314.07000000000005</v>
      </c>
      <c r="K19" s="109">
        <f>J19*$B9</f>
        <v>40891914.000000007</v>
      </c>
      <c r="L19" s="110">
        <f>IFERROR(K19/$B$10,"n/a")</f>
        <v>300675.83823529416</v>
      </c>
      <c r="M19" s="347"/>
      <c r="O19" s="95" t="s">
        <v>378</v>
      </c>
      <c r="P19" s="348">
        <f>$J20</f>
        <v>0</v>
      </c>
      <c r="Q19" s="109">
        <f>Q18*P19</f>
        <v>0</v>
      </c>
      <c r="R19" s="348">
        <f>$J20</f>
        <v>0</v>
      </c>
      <c r="S19" s="109">
        <f>S18*R19</f>
        <v>0</v>
      </c>
    </row>
    <row r="20" spans="1:19" x14ac:dyDescent="0.25">
      <c r="A20" s="102" t="s">
        <v>150</v>
      </c>
      <c r="B20" s="103">
        <f>IFERROR(INDEX('Unit Mix'!$C$12:$G$15,MATCH(Model_Baseline!$A20,'Unit Mix'!$B$12:$B$15,0),MATCH(Model_Baseline!$B$2,'Unit Mix'!$C$4:$G$4,0)),"n/a")</f>
        <v>0</v>
      </c>
      <c r="C20" s="103">
        <f>INDEX('Prototype Inputs'!$C$47:$G$50,MATCH(Model_Baseline!$A20,'Prototype Inputs'!$B$47:$B$50,0),MATCH(Model_Baseline!$B$2,'Prototype Inputs'!$C$10:$G$10,0))</f>
        <v>1200</v>
      </c>
      <c r="D20" s="104">
        <f>INDEX('Model Inputs'!$D$5:$H$8,MATCH($A20,'Model Inputs'!$C$5:$C$8,0),MATCH($B$2,'Model Inputs'!$D$3:$H$3,0))</f>
        <v>3.45</v>
      </c>
      <c r="E20" s="96">
        <f t="shared" si="0"/>
        <v>4140</v>
      </c>
      <c r="F20" s="96">
        <f t="shared" si="1"/>
        <v>0</v>
      </c>
      <c r="G20" s="105">
        <f t="shared" si="2"/>
        <v>0</v>
      </c>
      <c r="H20" s="88"/>
      <c r="I20" s="95" t="s">
        <v>378</v>
      </c>
      <c r="J20" s="353">
        <f>'Model Controls'!$E$47</f>
        <v>0</v>
      </c>
      <c r="K20" s="109">
        <f>K19*$J20</f>
        <v>0</v>
      </c>
      <c r="L20" s="110">
        <f t="shared" ref="L20" si="3">IFERROR(K20/$B$10,"n/a")</f>
        <v>0</v>
      </c>
      <c r="M20" s="347"/>
      <c r="O20" s="108" t="s">
        <v>178</v>
      </c>
    </row>
    <row r="21" spans="1:19" x14ac:dyDescent="0.25">
      <c r="A21" s="107" t="s">
        <v>379</v>
      </c>
      <c r="B21" s="111">
        <f>IF(SUM(B17:B20)=0,"n/a",SUM(B17:B20))</f>
        <v>136</v>
      </c>
      <c r="C21" s="112">
        <f>IFERROR(SUMPRODUCT($B$17:$B$20,$C$17:$C$20)/SUM($B$17:$B$20),"n/a")</f>
        <v>675</v>
      </c>
      <c r="D21" s="113">
        <f>IFERROR(SUMPRODUCT($B$17:$B$20,$D$17:$D$20)/SUM($B$17:$B$20),"n/a")</f>
        <v>3.9338235294117645</v>
      </c>
      <c r="E21" s="114">
        <f>IFERROR(SUMPRODUCT($B$17:$B$20,$E$17:$E$20)/SUM($B$17:$B$20),"n/a")</f>
        <v>2638.1617647058824</v>
      </c>
      <c r="F21" s="114">
        <f>IF(SUM(F17:F20)=0,"n/a",SUM(F17:F20))</f>
        <v>358790</v>
      </c>
      <c r="G21" s="114">
        <f>IF(SUM(G17:G20)=0,"n/a",SUM(G17:G20))</f>
        <v>4305480</v>
      </c>
      <c r="H21" s="88"/>
      <c r="I21" s="108" t="s">
        <v>178</v>
      </c>
      <c r="L21" s="110"/>
      <c r="O21" s="95" t="s">
        <v>338</v>
      </c>
      <c r="P21" s="109">
        <f>$J22</f>
        <v>5000</v>
      </c>
      <c r="Q21" s="109">
        <f>P21*$B12</f>
        <v>0</v>
      </c>
      <c r="R21" s="109">
        <f>$J22</f>
        <v>5000</v>
      </c>
      <c r="S21" s="109">
        <f>R21*$B12</f>
        <v>0</v>
      </c>
    </row>
    <row r="22" spans="1:19" x14ac:dyDescent="0.25">
      <c r="A22" s="64" t="s">
        <v>380</v>
      </c>
      <c r="B22" s="47"/>
      <c r="C22" s="47"/>
      <c r="D22" s="47"/>
      <c r="E22" s="47"/>
      <c r="F22" s="47"/>
      <c r="G22" s="47"/>
      <c r="H22" s="88"/>
      <c r="I22" s="95" t="s">
        <v>338</v>
      </c>
      <c r="J22" s="121" cm="1">
        <f t="array" ref="J22">INDEX('Model Inputs'!$D$48:$H$48,0,MATCH(Model_Baseline!$B$2,'Model Inputs'!$D$3:$H$3,0))</f>
        <v>5000</v>
      </c>
      <c r="K22" s="109">
        <f>J22*$B12</f>
        <v>0</v>
      </c>
      <c r="L22" s="110">
        <f t="shared" ref="L22" si="4">IFERROR(K24/$B$10,"n/a")</f>
        <v>0</v>
      </c>
      <c r="O22" s="95" t="s">
        <v>327</v>
      </c>
      <c r="P22" s="109">
        <f>$J23</f>
        <v>82650</v>
      </c>
      <c r="Q22" s="109">
        <f>P22*$B13</f>
        <v>11240400</v>
      </c>
      <c r="R22" s="109">
        <f>$J23</f>
        <v>82650</v>
      </c>
      <c r="S22" s="109">
        <f>R22*$B13</f>
        <v>11240400</v>
      </c>
    </row>
    <row r="23" spans="1:19" x14ac:dyDescent="0.25">
      <c r="A23" s="102" t="s">
        <v>146</v>
      </c>
      <c r="B23" s="103">
        <f>IFERROR(INDEX('Unit Mix'!$C$19:$G$22,MATCH(Model_Baseline!$A23,'Unit Mix'!$B$19:$B$22,0),MATCH(Model_Baseline!$B$2,'Unit Mix'!$C$4:$G$4,0)),"n/a")</f>
        <v>0</v>
      </c>
      <c r="C23" s="103">
        <f>INDEX('Prototype Inputs'!$C$47:$G$50,MATCH(Model_Baseline!$A23,'Prototype Inputs'!$B$47:$B$50,0),MATCH(Model_Baseline!$B$2,'Prototype Inputs'!$C$10:$G$10,0))</f>
        <v>550</v>
      </c>
      <c r="D23" s="115"/>
      <c r="E23" s="96">
        <f>INDEX('Model Inputs'!$D$10:$H$13,MATCH($A23,'Model Inputs'!$C$10:$C$13,0),MATCH($B$2,'Model Inputs'!$D$3:$H$3,0))</f>
        <v>1795.6</v>
      </c>
      <c r="F23" s="96">
        <f>IFERROR(E23*B23,"n/a")</f>
        <v>0</v>
      </c>
      <c r="G23" s="105">
        <f>IFERROR(F23*12,"n/a")</f>
        <v>0</v>
      </c>
      <c r="H23" s="88"/>
      <c r="I23" s="95" t="s">
        <v>327</v>
      </c>
      <c r="J23" s="121" cm="1">
        <f t="array" ref="J23">INDEX('Model Inputs'!$D$49:$H$49,0,MATCH(Model_Baseline!$B$2,'Model Inputs'!$D$3:$H$3,0))</f>
        <v>82650</v>
      </c>
      <c r="K23" s="109">
        <f>J23*$B13</f>
        <v>11240400</v>
      </c>
      <c r="L23" s="110">
        <f>IFERROR(K23/$B$10,"n/a")</f>
        <v>82650</v>
      </c>
      <c r="M23" s="347"/>
      <c r="O23" s="108" t="s">
        <v>381</v>
      </c>
      <c r="P23" s="88"/>
      <c r="Q23" s="88"/>
    </row>
    <row r="24" spans="1:19" x14ac:dyDescent="0.25">
      <c r="A24" s="102" t="s">
        <v>148</v>
      </c>
      <c r="B24" s="103">
        <f>IFERROR(INDEX('Unit Mix'!$C$19:$G$22,MATCH(Model_Baseline!$A24,'Unit Mix'!$B$19:$B$22,0),MATCH(Model_Baseline!$B$2,'Unit Mix'!$C$4:$G$4,0)),"n/a")</f>
        <v>0</v>
      </c>
      <c r="C24" s="103">
        <f>INDEX('Prototype Inputs'!$C$47:$G$50,MATCH(Model_Baseline!$A24,'Prototype Inputs'!$B$47:$B$50,0),MATCH(Model_Baseline!$B$2,'Prototype Inputs'!$C$10:$G$10,0))</f>
        <v>700</v>
      </c>
      <c r="D24" s="115"/>
      <c r="E24" s="96">
        <f>INDEX('Model Inputs'!$D$10:$H$13,MATCH($A24,'Model Inputs'!$C$10:$C$13,0),MATCH($B$2,'Model Inputs'!$D$3:$H$3,0))</f>
        <v>1911</v>
      </c>
      <c r="F24" s="96">
        <f t="shared" ref="F24:F26" si="5">IFERROR(E24*B24,"n/a")</f>
        <v>0</v>
      </c>
      <c r="G24" s="105">
        <f t="shared" ref="G24:G25" si="6">IFERROR(F24*12,"n/a")</f>
        <v>0</v>
      </c>
      <c r="H24" s="88"/>
      <c r="I24" s="108" t="s">
        <v>381</v>
      </c>
      <c r="J24" s="109"/>
      <c r="K24" s="109"/>
      <c r="L24" s="109"/>
      <c r="M24" s="347"/>
      <c r="O24" s="98" t="s">
        <v>182</v>
      </c>
      <c r="P24" s="97">
        <f>$J25</f>
        <v>10</v>
      </c>
      <c r="Q24" s="109">
        <f>P24*($B7*$B$5)</f>
        <v>620000</v>
      </c>
      <c r="R24" s="97">
        <f>$J25</f>
        <v>10</v>
      </c>
      <c r="S24" s="109">
        <f>R24*($B7*$B$5)</f>
        <v>620000</v>
      </c>
    </row>
    <row r="25" spans="1:19" x14ac:dyDescent="0.25">
      <c r="A25" s="102" t="s">
        <v>149</v>
      </c>
      <c r="B25" s="103">
        <f>IFERROR(INDEX('Unit Mix'!$C$19:$G$22,MATCH(Model_Baseline!$A25,'Unit Mix'!$B$19:$B$22,0),MATCH(Model_Baseline!$B$2,'Unit Mix'!$C$4:$G$4,0)),"n/a")</f>
        <v>0</v>
      </c>
      <c r="C25" s="103">
        <f>INDEX('Prototype Inputs'!$C$47:$G$50,MATCH(Model_Baseline!$A25,'Prototype Inputs'!$B$47:$B$50,0),MATCH(Model_Baseline!$B$2,'Prototype Inputs'!$C$10:$G$10,0))</f>
        <v>900</v>
      </c>
      <c r="D25" s="115"/>
      <c r="E25" s="96">
        <f>INDEX('Model Inputs'!$D$10:$H$13,MATCH($A25,'Model Inputs'!$C$10:$C$13,0),MATCH($B$2,'Model Inputs'!$D$3:$H$3,0))</f>
        <v>2307.1999999999998</v>
      </c>
      <c r="F25" s="96">
        <f t="shared" si="5"/>
        <v>0</v>
      </c>
      <c r="G25" s="105">
        <f t="shared" si="6"/>
        <v>0</v>
      </c>
      <c r="H25" s="88"/>
      <c r="I25" s="98" t="s">
        <v>182</v>
      </c>
      <c r="J25" s="109" cm="1">
        <f t="array" ref="J25">INDEX('Model Inputs'!$D$56:$H$56,0,MATCH(Model_Baseline!$B$2,'Model Inputs'!$D$3:$H$3,0))</f>
        <v>10</v>
      </c>
      <c r="K25" s="109">
        <f>J25*($B7*$B$5)</f>
        <v>620000</v>
      </c>
      <c r="L25" s="110">
        <f>IFERROR(K25/$B$10,"n/a")</f>
        <v>4558.8235294117649</v>
      </c>
      <c r="M25" s="347"/>
      <c r="O25" s="98" t="s">
        <v>106</v>
      </c>
      <c r="P25" s="97">
        <f>$J26</f>
        <v>5</v>
      </c>
      <c r="Q25" s="109">
        <f>P25*($B8*$B$5)</f>
        <v>31000</v>
      </c>
      <c r="R25" s="97">
        <f>$J26</f>
        <v>5</v>
      </c>
      <c r="S25" s="109">
        <f>R25*($B8*$B$5)</f>
        <v>31000</v>
      </c>
    </row>
    <row r="26" spans="1:19" x14ac:dyDescent="0.25">
      <c r="A26" s="102" t="s">
        <v>150</v>
      </c>
      <c r="B26" s="103">
        <f>IFERROR(INDEX('Unit Mix'!$C$19:$G$22,MATCH(Model_Baseline!$A26,'Unit Mix'!$B$19:$B$22,0),MATCH(Model_Baseline!$B$2,'Unit Mix'!$C$4:$G$4,0)),"n/a")</f>
        <v>0</v>
      </c>
      <c r="C26" s="103">
        <f>INDEX('Prototype Inputs'!$C$47:$G$50,MATCH(Model_Baseline!$A26,'Prototype Inputs'!$B$47:$B$50,0),MATCH(Model_Baseline!$B$2,'Prototype Inputs'!$C$10:$G$10,0))</f>
        <v>1200</v>
      </c>
      <c r="D26" s="115"/>
      <c r="E26" s="96">
        <f>INDEX('Model Inputs'!$D$10:$H$13,MATCH($A26,'Model Inputs'!$C$10:$C$13,0),MATCH($B$2,'Model Inputs'!$D$3:$H$3,0))</f>
        <v>2663.9199999999996</v>
      </c>
      <c r="F26" s="96">
        <f t="shared" si="5"/>
        <v>0</v>
      </c>
      <c r="G26" s="105">
        <f>IFERROR(F26*12,"n/a")</f>
        <v>0</v>
      </c>
      <c r="H26" s="88"/>
      <c r="I26" s="98" t="s">
        <v>106</v>
      </c>
      <c r="J26" s="109" cm="1">
        <f t="array" ref="J26">INDEX('Model Inputs'!$D$57:$H$57,0,MATCH(Model_Baseline!$B$2,'Model Inputs'!$D$3:$H$3,0))</f>
        <v>5</v>
      </c>
      <c r="K26" s="109">
        <f>J26*(B8*$B$5)</f>
        <v>31000</v>
      </c>
      <c r="L26" s="110">
        <f>IFERROR(K26/$B$10,"n/a")</f>
        <v>227.94117647058823</v>
      </c>
      <c r="M26" s="347"/>
      <c r="O26" s="117" t="s">
        <v>181</v>
      </c>
      <c r="P26" s="88"/>
      <c r="Q26" s="88"/>
      <c r="R26" s="88"/>
    </row>
    <row r="27" spans="1:19" x14ac:dyDescent="0.25">
      <c r="A27" s="107" t="s">
        <v>382</v>
      </c>
      <c r="B27" s="111" t="str">
        <f>IF(SUM(B23:B26)=0,"n/a",SUM(B23:B26))</f>
        <v>n/a</v>
      </c>
      <c r="C27" s="112">
        <f>IFERROR(SUMPRODUCT($B$17:$B$20,$C$17:$C$20)/SUM($B$17:$B$20),"n/a")</f>
        <v>675</v>
      </c>
      <c r="D27" s="115"/>
      <c r="E27" s="114" t="str">
        <f>IFERROR(SUMPRODUCT($B$23:$B$26,$E$23:$E$26)/SUM($B$23:$B$26),"n/a")</f>
        <v>n/a</v>
      </c>
      <c r="F27" s="114" t="str">
        <f>IF(SUM(F23:F26)=0,"n/a",SUM(F23:F26))</f>
        <v>n/a</v>
      </c>
      <c r="G27" s="114" t="str">
        <f>IF(SUM(G23:G26)=0,"n/a",SUM(G23:G26))</f>
        <v>n/a</v>
      </c>
      <c r="H27" s="88"/>
      <c r="I27" s="117" t="s">
        <v>181</v>
      </c>
      <c r="M27" s="347"/>
      <c r="O27" s="95" t="s">
        <v>162</v>
      </c>
      <c r="P27" s="109">
        <f>$J28</f>
        <v>100</v>
      </c>
      <c r="Q27" s="109">
        <f>P27*SUM($C$32:$C$33)</f>
        <v>1844500</v>
      </c>
      <c r="R27" s="109">
        <f>$J28</f>
        <v>100</v>
      </c>
      <c r="S27" s="109">
        <f>R27*SUM($C$32:$C$33)</f>
        <v>1844500</v>
      </c>
    </row>
    <row r="28" spans="1:19" x14ac:dyDescent="0.25">
      <c r="A28" s="102" t="s">
        <v>383</v>
      </c>
      <c r="F28" s="119">
        <f>IF(SUM(F21,F27)=0,"n/a",SUM(F21,F27))</f>
        <v>358790</v>
      </c>
      <c r="G28" s="119">
        <f>IF(SUM(G21,G27)=0,"n/a",SUM(G21,G27))</f>
        <v>4305480</v>
      </c>
      <c r="H28" s="88"/>
      <c r="I28" s="95" t="s">
        <v>162</v>
      </c>
      <c r="J28" s="109" cm="1">
        <f t="array" ref="J28">INDEX('Model Inputs'!$D$54:$H$54,0,MATCH(Model_Baseline!$B$2,'Model Inputs'!$D$3:$H$3,0))</f>
        <v>100</v>
      </c>
      <c r="K28" s="109">
        <f>J28*SUM($C$32:$C$33)</f>
        <v>1844500</v>
      </c>
      <c r="L28" s="110">
        <f t="shared" ref="L28:L30" si="7">IFERROR(K28/$B$10,"n/a")</f>
        <v>13562.5</v>
      </c>
      <c r="M28" s="347"/>
      <c r="O28" s="95" t="s">
        <v>160</v>
      </c>
      <c r="P28" s="110" t="str">
        <f>$J29</f>
        <v>n/a</v>
      </c>
      <c r="Q28" s="109">
        <f>IFERROR(P28*$C$31,0)</f>
        <v>0</v>
      </c>
      <c r="R28" s="110" t="str">
        <f>$J29</f>
        <v>n/a</v>
      </c>
      <c r="S28" s="109">
        <f>IFERROR(R28*$C$31,0)</f>
        <v>0</v>
      </c>
    </row>
    <row r="29" spans="1:19" x14ac:dyDescent="0.25">
      <c r="H29" s="88"/>
      <c r="I29" s="95" t="s">
        <v>160</v>
      </c>
      <c r="J29" s="110" t="str" cm="1">
        <f t="array" ref="J29">INDEX('Model Inputs'!$D$53:$H$53,0,MATCH(Model_Baseline!$B$2,'Model Inputs'!$D$3:$H$3,0))</f>
        <v>n/a</v>
      </c>
      <c r="K29" s="109">
        <f>IFERROR(J29*$C$31,0)</f>
        <v>0</v>
      </c>
      <c r="L29" s="110">
        <f t="shared" si="7"/>
        <v>0</v>
      </c>
      <c r="M29" s="347"/>
      <c r="O29" s="108" t="s">
        <v>179</v>
      </c>
      <c r="P29" s="120">
        <f>$J31</f>
        <v>0.25</v>
      </c>
      <c r="Q29" s="109">
        <f>P29*SUM(Q$18:Q$22)</f>
        <v>13846828.500000002</v>
      </c>
      <c r="R29" s="120">
        <f>$J31</f>
        <v>0.25</v>
      </c>
      <c r="S29" s="109">
        <f>R29*SUM(S$18:S$22)</f>
        <v>12219328.500000002</v>
      </c>
    </row>
    <row r="30" spans="1:19" x14ac:dyDescent="0.25">
      <c r="A30" s="83" t="s">
        <v>384</v>
      </c>
      <c r="B30" s="134" t="s">
        <v>231</v>
      </c>
      <c r="C30" s="184" t="s">
        <v>367</v>
      </c>
      <c r="D30" s="184" t="s">
        <v>385</v>
      </c>
      <c r="E30" s="201" t="s">
        <v>369</v>
      </c>
      <c r="F30" s="201" t="s">
        <v>370</v>
      </c>
      <c r="G30" s="201" t="s">
        <v>371</v>
      </c>
      <c r="H30" s="88"/>
      <c r="I30" s="117" t="s">
        <v>386</v>
      </c>
      <c r="K30" s="183">
        <f>'Site Calcs'!$C$21</f>
        <v>0</v>
      </c>
      <c r="L30" s="110">
        <f t="shared" si="7"/>
        <v>0</v>
      </c>
      <c r="M30" s="347"/>
      <c r="O30" s="108" t="s">
        <v>180</v>
      </c>
      <c r="P30" s="120">
        <f>$J32</f>
        <v>0.1</v>
      </c>
      <c r="Q30" s="109">
        <f>P30*SUM(Q$18:Q$22)</f>
        <v>5538731.4000000013</v>
      </c>
      <c r="R30" s="120">
        <f>$J32</f>
        <v>0.1</v>
      </c>
      <c r="S30" s="109">
        <f>R30*SUM(S$18:S$22)</f>
        <v>4887731.4000000013</v>
      </c>
    </row>
    <row r="31" spans="1:19" x14ac:dyDescent="0.25">
      <c r="A31" s="117" t="s">
        <v>160</v>
      </c>
      <c r="B31" s="115"/>
      <c r="C31" s="122">
        <f>INDEX('Prototype Inputs'!$C$21:$G$22,MATCH(Model_Baseline!$A31,'Prototype Inputs'!$B$21:$B$22,0),MATCH(Model_Baseline!$B$2,'Prototype Inputs'!$C$10:$G$10,0))</f>
        <v>0</v>
      </c>
      <c r="D31" s="104" t="str">
        <f>INDEX('Model Inputs'!$D$20:$H$21,MATCH(Model_Baseline!$A31,'Model Inputs'!$C$20:$C$21,0),MATCH(Model_Baseline!$B$2,'Model Inputs'!$D$3:$H$3,0))</f>
        <v>n/a</v>
      </c>
      <c r="E31" s="115"/>
      <c r="F31" s="96" t="str">
        <f>IFERROR((D31*C31)/12,"n/a")</f>
        <v>n/a</v>
      </c>
      <c r="G31" s="96" t="str">
        <f>IFERROR(F31*12,"n/a")</f>
        <v>n/a</v>
      </c>
      <c r="I31" s="108" t="s">
        <v>179</v>
      </c>
      <c r="J31" s="120" cm="1">
        <f t="array" ref="J31">INDEX('Model Inputs'!$D$50:$H$50,0,MATCH(Model_Baseline!$B$2,'Model Inputs'!$D$3:$H$3,0))</f>
        <v>0.25</v>
      </c>
      <c r="K31" s="109">
        <f>J31*SUM($K$19:$K$23,$K$30)</f>
        <v>13033078.500000002</v>
      </c>
      <c r="L31" s="110">
        <f t="shared" ref="L31:L37" si="8">IFERROR(K31/$B$10,"n/a")</f>
        <v>95831.459558823539</v>
      </c>
      <c r="M31" s="347"/>
      <c r="O31" s="108" t="s">
        <v>275</v>
      </c>
      <c r="P31" s="88"/>
      <c r="Q31" s="97">
        <f>$K33</f>
        <v>0</v>
      </c>
      <c r="R31" s="88"/>
      <c r="S31" s="97">
        <f>$K33</f>
        <v>0</v>
      </c>
    </row>
    <row r="32" spans="1:19" x14ac:dyDescent="0.25">
      <c r="A32" s="117" t="s">
        <v>162</v>
      </c>
      <c r="B32" s="115"/>
      <c r="C32" s="122">
        <f>INDEX('Prototype Inputs'!$C$21:$G$22,MATCH(Model_Baseline!$A32,'Prototype Inputs'!$B$21:$B$22,0),MATCH(Model_Baseline!$B$2,'Prototype Inputs'!$C$10:$G$10,0))</f>
        <v>18445</v>
      </c>
      <c r="D32" s="123">
        <f>INDEX('Model Inputs'!$D$20:$H$21,MATCH(Model_Baseline!$A32,'Model Inputs'!$C$20:$C$21,0),MATCH(Model_Baseline!$B$2,'Model Inputs'!$D$3:$H$3,0))</f>
        <v>40</v>
      </c>
      <c r="E32" s="115"/>
      <c r="F32" s="116">
        <f>(D32*C32)/12</f>
        <v>61483.333333333336</v>
      </c>
      <c r="G32" s="116">
        <f>F32*12</f>
        <v>737800</v>
      </c>
      <c r="I32" s="108" t="s">
        <v>180</v>
      </c>
      <c r="J32" s="120" cm="1">
        <f t="array" ref="J32">INDEX('Model Inputs'!$D$51:$H$51,0,MATCH(Model_Baseline!$B$2,'Model Inputs'!$D$3:$H$3,0))</f>
        <v>0.1</v>
      </c>
      <c r="K32" s="109">
        <f>J32*SUM($K$19:$K$23,$K$30)</f>
        <v>5213231.4000000013</v>
      </c>
      <c r="L32" s="110">
        <f t="shared" si="8"/>
        <v>38332.583823529421</v>
      </c>
      <c r="M32" s="347"/>
      <c r="O32" s="108" t="s">
        <v>387</v>
      </c>
      <c r="P32" s="88"/>
      <c r="Q32" s="97">
        <f>$K34</f>
        <v>3882824.4140468752</v>
      </c>
      <c r="R32" s="88"/>
      <c r="S32" s="97">
        <f>$K34</f>
        <v>3882824.4140468752</v>
      </c>
    </row>
    <row r="33" spans="1:20" x14ac:dyDescent="0.25">
      <c r="A33" s="95" t="s">
        <v>388</v>
      </c>
      <c r="B33" s="115"/>
      <c r="C33" s="115"/>
      <c r="D33" s="123" cm="1">
        <f t="array" ref="D33">INDEX('Model Inputs'!$D$24:$H$24,0,MATCH(Model_Baseline!$B$2,'Model Inputs'!$D$3:$H$3,0))</f>
        <v>20</v>
      </c>
      <c r="E33" s="115"/>
      <c r="F33" s="116">
        <f>(D33*C33)/12</f>
        <v>0</v>
      </c>
      <c r="G33" s="116">
        <f>F33*12</f>
        <v>0</v>
      </c>
      <c r="I33" s="108" t="s">
        <v>275</v>
      </c>
      <c r="J33" s="131"/>
      <c r="K33" s="109">
        <f>'Model Controls'!$E$35</f>
        <v>0</v>
      </c>
      <c r="L33" s="110">
        <f t="shared" si="8"/>
        <v>0</v>
      </c>
      <c r="M33" s="347"/>
      <c r="O33" s="356" t="s">
        <v>389</v>
      </c>
      <c r="P33" s="363"/>
      <c r="Q33" s="375">
        <f>SUM(Q18:Q32)</f>
        <v>81151198.31404689</v>
      </c>
      <c r="R33" s="363"/>
      <c r="S33" s="375">
        <f>SUM(S18:S32)</f>
        <v>72362698.314046875</v>
      </c>
      <c r="T33" s="183"/>
    </row>
    <row r="34" spans="1:20" x14ac:dyDescent="0.25">
      <c r="A34" s="83" t="s">
        <v>157</v>
      </c>
      <c r="B34" s="83"/>
      <c r="C34" s="125">
        <f>SUM(C31:C33)</f>
        <v>18445</v>
      </c>
      <c r="D34" s="126" t="s">
        <v>324</v>
      </c>
      <c r="E34" s="115"/>
      <c r="F34" s="127">
        <f>SUM(F31:F33)</f>
        <v>61483.333333333336</v>
      </c>
      <c r="G34" s="127">
        <f>SUM(G31:G33)</f>
        <v>737800</v>
      </c>
      <c r="I34" s="108" t="s">
        <v>387</v>
      </c>
      <c r="J34" s="124"/>
      <c r="K34" s="109">
        <f>SUM(Financing!C22:AX22)</f>
        <v>3882824.4140468752</v>
      </c>
      <c r="L34" s="110">
        <f t="shared" si="8"/>
        <v>28550.179515050553</v>
      </c>
      <c r="O34" s="117" t="s">
        <v>240</v>
      </c>
      <c r="Q34" s="183">
        <f>$K38</f>
        <v>9300000</v>
      </c>
      <c r="S34" s="183">
        <f>$K38</f>
        <v>9300000</v>
      </c>
    </row>
    <row r="35" spans="1:20" ht="14.4" thickBot="1" x14ac:dyDescent="0.3">
      <c r="I35" s="117" t="s">
        <v>390</v>
      </c>
      <c r="K35" s="109">
        <v>0</v>
      </c>
      <c r="L35" s="110">
        <f t="shared" si="8"/>
        <v>0</v>
      </c>
      <c r="O35" s="217" t="s">
        <v>391</v>
      </c>
      <c r="P35" s="376"/>
      <c r="Q35" s="376">
        <f t="shared" ref="Q35:S35" si="9">SUM(Q33:Q34)</f>
        <v>90451198.31404689</v>
      </c>
      <c r="R35" s="376"/>
      <c r="S35" s="376">
        <f t="shared" si="9"/>
        <v>81662698.314046875</v>
      </c>
    </row>
    <row r="36" spans="1:20" x14ac:dyDescent="0.25">
      <c r="A36" s="87" t="s">
        <v>156</v>
      </c>
      <c r="B36" s="134" t="s">
        <v>392</v>
      </c>
      <c r="C36" s="83" t="s">
        <v>367</v>
      </c>
      <c r="D36" s="83" t="s">
        <v>393</v>
      </c>
      <c r="E36" s="83" t="s">
        <v>369</v>
      </c>
      <c r="F36" s="87" t="s">
        <v>370</v>
      </c>
      <c r="G36" s="87" t="s">
        <v>371</v>
      </c>
      <c r="I36" s="117" t="s">
        <v>394</v>
      </c>
      <c r="K36" s="109">
        <v>0</v>
      </c>
      <c r="L36" s="110">
        <f t="shared" si="8"/>
        <v>0</v>
      </c>
      <c r="O36" s="83"/>
      <c r="P36" s="183"/>
      <c r="Q36" s="183"/>
      <c r="R36" s="183"/>
      <c r="S36" s="183"/>
    </row>
    <row r="37" spans="1:20" x14ac:dyDescent="0.25">
      <c r="A37" s="117" t="s">
        <v>166</v>
      </c>
      <c r="B37" s="103">
        <f>INDEX('Prototype Inputs'!$C$58:$G$61,MATCH($A37,'Prototype Inputs'!$B$58:$B$61,0),MATCH(Model_Baseline!$B$2,'Prototype Inputs'!$C$10:$G$10,0))</f>
        <v>118</v>
      </c>
      <c r="C37" s="115"/>
      <c r="D37" s="115"/>
      <c r="I37" s="356" t="s">
        <v>389</v>
      </c>
      <c r="J37" s="357"/>
      <c r="K37" s="358">
        <f>SUM(K19:K36)</f>
        <v>76756948.31404689</v>
      </c>
      <c r="L37" s="359">
        <f t="shared" si="8"/>
        <v>564389.32583858003</v>
      </c>
      <c r="O37" s="83"/>
      <c r="P37" s="183"/>
      <c r="Q37" s="183"/>
      <c r="R37" s="183"/>
      <c r="S37" s="183"/>
    </row>
    <row r="38" spans="1:20" x14ac:dyDescent="0.25">
      <c r="A38" s="95" t="s">
        <v>338</v>
      </c>
      <c r="B38" s="103">
        <f>IFERROR(MROUND((INDEX('Prototype Inputs'!$C$62:$G$62,MATCH(Model_Baseline!$B$2,'Prototype Inputs'!$C$10:$G$10,0))/INDEX('Prototype Inputs'!$C$57:$G$57,MATCH(Model_Baseline!$B$2,'Prototype Inputs'!$C$10:$G$10,0)))*Model_Baseline!B$37,1),"n/a")</f>
        <v>0</v>
      </c>
      <c r="C38" s="115"/>
      <c r="D38" s="115"/>
      <c r="E38" s="116">
        <f>INDEX('Model Inputs'!$D$27:$H$28,MATCH(Model_Baseline!$A38,'Model Inputs'!$C$27:$C$28,0),MATCH(Model_Baseline!$B$2,'Model Inputs'!$D$3:$H$3,0))</f>
        <v>50</v>
      </c>
      <c r="F38" s="96">
        <f>IFERROR(E38*B38,"n/a")</f>
        <v>0</v>
      </c>
      <c r="G38" s="96">
        <f>IFERROR(F38*12,"n/a")</f>
        <v>0</v>
      </c>
      <c r="I38" s="117" t="s">
        <v>240</v>
      </c>
      <c r="J38" s="109">
        <f>INDEX('Model Inputs'!$D$58:$H$58,MATCH($B$2,'Model Inputs'!$D$3:$H$3,0))</f>
        <v>150</v>
      </c>
      <c r="K38" s="183">
        <f>J38*B5</f>
        <v>9300000</v>
      </c>
      <c r="L38" s="110">
        <f>IFERROR(K38/B10,"n/a")</f>
        <v>68382.352941176476</v>
      </c>
    </row>
    <row r="39" spans="1:20" ht="14.4" thickBot="1" x14ac:dyDescent="0.3">
      <c r="A39" s="95" t="s">
        <v>327</v>
      </c>
      <c r="B39" s="103">
        <f>IFERROR(B37-B38,"n/a")</f>
        <v>118</v>
      </c>
      <c r="C39" s="115"/>
      <c r="D39" s="115"/>
      <c r="E39" s="116">
        <f>INDEX('Model Inputs'!$D$27:$H$28,MATCH(Model_Baseline!$A39,'Model Inputs'!$C$27:$C$28,0),MATCH(Model_Baseline!$B$2,'Model Inputs'!$D$3:$H$3,0))</f>
        <v>235</v>
      </c>
      <c r="F39" s="96">
        <f>IFERROR(E39*B39,"n/a")</f>
        <v>27730</v>
      </c>
      <c r="G39" s="96">
        <f>IFERROR(F39*12,"n/a")</f>
        <v>332760</v>
      </c>
      <c r="I39" s="217" t="s">
        <v>391</v>
      </c>
      <c r="J39" s="217"/>
      <c r="K39" s="361">
        <f>K38+K37</f>
        <v>86056948.31404689</v>
      </c>
      <c r="L39" s="362">
        <f>IFERROR(K39/$B$10,"n/a")</f>
        <v>632771.67877975653</v>
      </c>
      <c r="N39" s="377"/>
    </row>
    <row r="40" spans="1:20" x14ac:dyDescent="0.25">
      <c r="A40" s="117" t="s">
        <v>199</v>
      </c>
      <c r="B40" s="103">
        <f>INDEX('Prototype Inputs'!$C$58:$G$61,MATCH($A40,'Prototype Inputs'!$B$58:$B$61,0),MATCH(Model_Baseline!$B$2,'Prototype Inputs'!$C$10:$G$10,0))</f>
        <v>18</v>
      </c>
      <c r="C40" s="115"/>
      <c r="D40" s="115"/>
      <c r="E40" s="115"/>
      <c r="F40" s="115"/>
      <c r="G40" s="115"/>
      <c r="I40" s="83"/>
      <c r="J40" s="83"/>
      <c r="K40" s="401"/>
      <c r="L40" s="351"/>
      <c r="N40" s="377"/>
      <c r="O40" s="133"/>
      <c r="P40" s="183"/>
    </row>
    <row r="41" spans="1:20" x14ac:dyDescent="0.25">
      <c r="A41" s="95" t="s">
        <v>160</v>
      </c>
      <c r="B41" s="103" t="str">
        <f>INDEX('Prototype Inputs'!$C$58:$G$61,MATCH($A41,'Prototype Inputs'!$B$58:$B$61,0),MATCH(Model_Baseline!$B$2,'Prototype Inputs'!$C$10:$G$10,0))</f>
        <v>n/a</v>
      </c>
      <c r="C41" s="115"/>
      <c r="D41" s="115"/>
      <c r="E41" s="115"/>
      <c r="F41" s="115"/>
      <c r="G41" s="115"/>
      <c r="I41" s="83"/>
      <c r="J41" s="83"/>
      <c r="K41" s="541"/>
      <c r="L41" s="351"/>
      <c r="N41" s="377"/>
      <c r="O41" s="133"/>
      <c r="P41" s="183"/>
    </row>
    <row r="42" spans="1:20" x14ac:dyDescent="0.25">
      <c r="A42" s="402" t="s">
        <v>338</v>
      </c>
      <c r="B42" s="103" t="str">
        <f>IFERROR(MROUND((INDEX('Prototype Inputs'!$C$62:$G$62,MATCH(Model_Baseline!$B$2,'Prototype Inputs'!$C$10:$G$10,0))/INDEX('Prototype Inputs'!$C$57:$G$57,MATCH(Model_Baseline!$B$2,'Prototype Inputs'!$C$10:$G$10,0)))*Model_Baseline!B$41,1),"n/a")</f>
        <v>n/a</v>
      </c>
      <c r="C42" s="115"/>
      <c r="D42" s="115"/>
      <c r="E42" s="96" t="str">
        <f>INDEX('Model Inputs'!$D$31:$H$32,MATCH(Model_Baseline!$A42,'Model Inputs'!$C$31:$C$32,0),MATCH(Model_Baseline!$B$2,'Model Inputs'!$D$3:$H$3,0))</f>
        <v>n/a</v>
      </c>
      <c r="F42" s="96" t="str">
        <f>IFERROR(E42*B42,"n/a")</f>
        <v>n/a</v>
      </c>
      <c r="G42" s="96" t="str">
        <f>IFERROR(F42*12,"n/a")</f>
        <v>n/a</v>
      </c>
      <c r="K42" s="541"/>
      <c r="N42" s="109"/>
      <c r="O42" s="133"/>
      <c r="P42" s="183"/>
    </row>
    <row r="43" spans="1:20" x14ac:dyDescent="0.25">
      <c r="A43" s="402" t="s">
        <v>327</v>
      </c>
      <c r="B43" s="103" t="str">
        <f>IFERROR(B41-B42,"n/a")</f>
        <v>n/a</v>
      </c>
      <c r="C43" s="115"/>
      <c r="D43" s="115"/>
      <c r="E43" s="96" t="str">
        <f>INDEX('Model Inputs'!$D$31:$H$32,MATCH(Model_Baseline!$A43,'Model Inputs'!$C$31:$C$32,0),MATCH(Model_Baseline!$B$2,'Model Inputs'!$D$3:$H$3,0))</f>
        <v>n/a</v>
      </c>
      <c r="F43" s="96" t="str">
        <f>IFERROR(E43*B43,"n/a")</f>
        <v>n/a</v>
      </c>
      <c r="G43" s="96" t="str">
        <f>IFERROR(F43*12,"n/a")</f>
        <v>n/a</v>
      </c>
      <c r="I43" s="83" t="s">
        <v>395</v>
      </c>
      <c r="N43" s="109"/>
      <c r="O43" s="133"/>
      <c r="P43" s="183"/>
    </row>
    <row r="44" spans="1:20" ht="14.4" thickBot="1" x14ac:dyDescent="0.3">
      <c r="A44" s="95" t="s">
        <v>162</v>
      </c>
      <c r="B44" s="103">
        <f>INDEX('Prototype Inputs'!$C$58:$G$61,MATCH($A44,'Prototype Inputs'!$B$58:$B$61,0),MATCH(Model_Baseline!$B$2,'Prototype Inputs'!$C$10:$G$10,0))</f>
        <v>18</v>
      </c>
      <c r="C44" s="115"/>
      <c r="D44" s="115"/>
      <c r="E44" s="115"/>
      <c r="F44" s="115"/>
      <c r="G44" s="115"/>
      <c r="I44" s="83"/>
      <c r="N44" s="109"/>
      <c r="O44" s="133"/>
    </row>
    <row r="45" spans="1:20" x14ac:dyDescent="0.25">
      <c r="A45" s="402" t="s">
        <v>338</v>
      </c>
      <c r="B45" s="103">
        <f>IFERROR(MROUND((INDEX('Prototype Inputs'!$C$62:$G$62,MATCH(Model_Baseline!$B$2,'Prototype Inputs'!$C$10:$G$10,0))/INDEX('Prototype Inputs'!$C$57:$G$57,MATCH(Model_Baseline!$B$2,'Prototype Inputs'!$C$10:$G$10,0)))*Model_Baseline!B$44,1),"n/a")</f>
        <v>0</v>
      </c>
      <c r="C45" s="115"/>
      <c r="D45" s="115"/>
      <c r="E45" s="116">
        <f>INDEX('Model Inputs'!$D$34:$H$35,MATCH(Model_Baseline!$A45,'Model Inputs'!$C$34:$C$35,0),MATCH(Model_Baseline!$B$2,'Model Inputs'!$D$3:$H$3,0))</f>
        <v>0</v>
      </c>
      <c r="F45" s="116">
        <f>E45*B44</f>
        <v>0</v>
      </c>
      <c r="G45" s="116">
        <f>F45*12</f>
        <v>0</v>
      </c>
      <c r="I45" s="381" t="s">
        <v>396</v>
      </c>
      <c r="J45" s="378">
        <f>K45-0.0025</f>
        <v>4.4999999999999998E-2</v>
      </c>
      <c r="K45" s="379" cm="1">
        <f t="array" ref="K45">INDEX('Model Inputs'!$D$65:$H$65,0,MATCH(Model_Baseline!$B$2,'Model Inputs'!$D$3:$H$3,0))</f>
        <v>4.7500000000000001E-2</v>
      </c>
      <c r="L45" s="380">
        <f>K45+0.0025</f>
        <v>0.05</v>
      </c>
      <c r="N45" s="109"/>
      <c r="O45" s="133"/>
      <c r="P45" s="183"/>
    </row>
    <row r="46" spans="1:20" x14ac:dyDescent="0.25">
      <c r="A46" s="402" t="s">
        <v>327</v>
      </c>
      <c r="B46" s="103">
        <f>IFERROR(B44-B45,"n/a")</f>
        <v>18</v>
      </c>
      <c r="C46" s="115"/>
      <c r="D46" s="115"/>
      <c r="E46" s="116">
        <f>INDEX('Model Inputs'!$D$34:$H$35,MATCH(Model_Baseline!$A46,'Model Inputs'!$C$34:$C$35,0),MATCH(Model_Baseline!$B$2,'Model Inputs'!$D$3:$H$3,0))</f>
        <v>0</v>
      </c>
      <c r="F46" s="116">
        <f>E46*B46</f>
        <v>0</v>
      </c>
      <c r="G46" s="116">
        <f>F46*12</f>
        <v>0</v>
      </c>
      <c r="I46" s="108" t="s">
        <v>397</v>
      </c>
      <c r="J46" s="109">
        <f>$K16/J45</f>
        <v>77724391.111111119</v>
      </c>
      <c r="K46" s="109">
        <f>$K16/K45</f>
        <v>73633633.684210524</v>
      </c>
      <c r="L46" s="109">
        <f>$K16/L45</f>
        <v>69951952</v>
      </c>
      <c r="N46" s="97"/>
    </row>
    <row r="47" spans="1:20" x14ac:dyDescent="0.25">
      <c r="A47" s="83" t="s">
        <v>157</v>
      </c>
      <c r="B47" s="125">
        <f>IFERROR(B37+B40,B40)</f>
        <v>136</v>
      </c>
      <c r="C47" s="115"/>
      <c r="D47" s="115"/>
      <c r="E47" s="115"/>
      <c r="F47" s="127">
        <f>SUM(F38:F46)</f>
        <v>27730</v>
      </c>
      <c r="G47" s="127">
        <f>SUM(G38:G46)</f>
        <v>332760</v>
      </c>
      <c r="I47" s="117" t="s">
        <v>398</v>
      </c>
      <c r="J47" s="109">
        <f>J46-$K37</f>
        <v>967442.79706422985</v>
      </c>
      <c r="K47" s="109">
        <f>K46-$K37</f>
        <v>-3123314.6298363656</v>
      </c>
      <c r="L47" s="109">
        <f>L46-$K37</f>
        <v>-6804996.3140468895</v>
      </c>
    </row>
    <row r="48" spans="1:20" ht="14.4" thickBot="1" x14ac:dyDescent="0.3">
      <c r="I48" s="195" t="s">
        <v>259</v>
      </c>
      <c r="J48" s="382">
        <f>J47/$B5</f>
        <v>15.603916081681126</v>
      </c>
      <c r="K48" s="382">
        <f>K47/$B5</f>
        <v>-50.37604241671557</v>
      </c>
      <c r="L48" s="382">
        <f>L47/$B5</f>
        <v>-109.75800506527241</v>
      </c>
    </row>
    <row r="49" spans="1:14" ht="14.4" thickBot="1" x14ac:dyDescent="0.3">
      <c r="A49" s="83" t="s">
        <v>360</v>
      </c>
      <c r="B49" s="132" t="s">
        <v>399</v>
      </c>
      <c r="C49" s="88"/>
      <c r="D49" s="88"/>
      <c r="E49" s="88"/>
      <c r="F49" s="88"/>
      <c r="G49" s="127">
        <f>SUM(G47,G34,G28)</f>
        <v>5376040</v>
      </c>
      <c r="N49" s="183"/>
    </row>
    <row r="50" spans="1:14" x14ac:dyDescent="0.25">
      <c r="A50" s="90"/>
      <c r="I50" s="139" t="s">
        <v>218</v>
      </c>
      <c r="J50" s="383"/>
      <c r="K50" s="383"/>
      <c r="L50" s="383"/>
      <c r="N50" s="183"/>
    </row>
    <row r="51" spans="1:14" x14ac:dyDescent="0.25">
      <c r="I51" s="1" t="s">
        <v>400</v>
      </c>
      <c r="J51" s="1"/>
      <c r="K51" s="1"/>
      <c r="L51" s="1"/>
      <c r="N51" s="183"/>
    </row>
    <row r="52" spans="1:14" x14ac:dyDescent="0.25">
      <c r="I52" s="78" t="s">
        <v>401</v>
      </c>
      <c r="J52" s="183">
        <f>K52+50</f>
        <v>200</v>
      </c>
      <c r="K52" s="109">
        <f>INDEX('Model Inputs'!$D$58:$H$58,MATCH($B$2,'Model Inputs'!$D$3:$H$3,0))</f>
        <v>150</v>
      </c>
      <c r="L52" s="183">
        <f>K52-50</f>
        <v>100</v>
      </c>
      <c r="N52" s="190"/>
    </row>
    <row r="53" spans="1:14" x14ac:dyDescent="0.25">
      <c r="I53" s="78" t="s">
        <v>240</v>
      </c>
      <c r="J53" s="183">
        <f>J52*$B5</f>
        <v>12400000</v>
      </c>
      <c r="K53" s="183">
        <f>K52*$B5</f>
        <v>9300000</v>
      </c>
      <c r="L53" s="183">
        <f>L52*$B5</f>
        <v>6200000</v>
      </c>
    </row>
    <row r="54" spans="1:14" x14ac:dyDescent="0.25">
      <c r="I54" s="78" t="s">
        <v>402</v>
      </c>
      <c r="J54" s="183">
        <f>J53+$K37</f>
        <v>89156948.31404689</v>
      </c>
      <c r="K54" s="183">
        <f>K53+$K37</f>
        <v>86056948.31404689</v>
      </c>
      <c r="L54" s="183">
        <f>L53+$K37</f>
        <v>82956948.31404689</v>
      </c>
      <c r="N54" s="183"/>
    </row>
    <row r="55" spans="1:14" x14ac:dyDescent="0.25">
      <c r="I55" s="386" t="s">
        <v>218</v>
      </c>
      <c r="J55" s="190">
        <f>$K16/J54</f>
        <v>3.9229669320668584E-2</v>
      </c>
      <c r="K55" s="190">
        <f>$K16/K54</f>
        <v>4.0642826274018537E-2</v>
      </c>
      <c r="L55" s="190">
        <f>$K16/L54</f>
        <v>4.2161599131627661E-2</v>
      </c>
      <c r="N55" s="183"/>
    </row>
    <row r="56" spans="1:14" x14ac:dyDescent="0.25">
      <c r="I56" s="1" t="s">
        <v>177</v>
      </c>
      <c r="J56" s="1"/>
      <c r="K56" s="1"/>
      <c r="L56" s="1"/>
      <c r="N56" s="190"/>
    </row>
    <row r="57" spans="1:14" x14ac:dyDescent="0.25">
      <c r="I57" s="78" t="s">
        <v>177</v>
      </c>
      <c r="J57" s="183">
        <f>P18</f>
        <v>339.07000000000005</v>
      </c>
      <c r="K57" s="109" cm="1">
        <f t="array" ref="K57">INDEX('Model Inputs'!$D$47:$H$47,0,MATCH(Model_Baseline!$B$2,'Model Inputs'!$D$3:$H$3,0))</f>
        <v>314.07000000000005</v>
      </c>
      <c r="L57" s="183">
        <f>R18</f>
        <v>289.07000000000005</v>
      </c>
    </row>
    <row r="58" spans="1:14" x14ac:dyDescent="0.25">
      <c r="I58" s="78" t="s">
        <v>402</v>
      </c>
      <c r="J58" s="183">
        <f>Q35</f>
        <v>90451198.31404689</v>
      </c>
      <c r="K58" s="183">
        <f>K39</f>
        <v>86056948.31404689</v>
      </c>
      <c r="L58" s="183">
        <f>S35</f>
        <v>81662698.314046875</v>
      </c>
    </row>
    <row r="59" spans="1:14" ht="14.4" thickBot="1" x14ac:dyDescent="0.3">
      <c r="I59" s="384" t="s">
        <v>218</v>
      </c>
      <c r="J59" s="385">
        <f>$K16/J58</f>
        <v>3.8668339007033696E-2</v>
      </c>
      <c r="K59" s="385">
        <f>$K16/K58</f>
        <v>4.0642826274018537E-2</v>
      </c>
      <c r="L59" s="385">
        <f>$K16/L58</f>
        <v>4.2829806903384858E-2</v>
      </c>
    </row>
    <row r="60" spans="1:14" x14ac:dyDescent="0.25">
      <c r="I60" s="95"/>
      <c r="J60" s="110"/>
      <c r="K60" s="109"/>
    </row>
    <row r="61" spans="1:14" x14ac:dyDescent="0.25">
      <c r="I61" s="108"/>
      <c r="J61" s="120"/>
      <c r="K61" s="109"/>
    </row>
    <row r="62" spans="1:14" x14ac:dyDescent="0.25">
      <c r="I62" s="108"/>
      <c r="J62" s="120"/>
      <c r="K62" s="109"/>
    </row>
    <row r="63" spans="1:14" x14ac:dyDescent="0.25">
      <c r="I63" s="108"/>
      <c r="J63" s="131"/>
      <c r="K63" s="109"/>
    </row>
    <row r="64" spans="1:14" x14ac:dyDescent="0.25">
      <c r="I64" s="108"/>
      <c r="J64" s="124"/>
      <c r="K64" s="10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A71E-D40C-4DB4-A297-601D747B27BC}">
  <sheetPr codeName="Sheet12">
    <tabColor theme="5"/>
  </sheetPr>
  <dimension ref="A1:T64"/>
  <sheetViews>
    <sheetView workbookViewId="0">
      <selection activeCell="K41" sqref="K41"/>
    </sheetView>
  </sheetViews>
  <sheetFormatPr defaultColWidth="8.69921875" defaultRowHeight="13.8" x14ac:dyDescent="0.25"/>
  <cols>
    <col min="1" max="1" width="31.19921875" style="78" customWidth="1"/>
    <col min="2" max="2" width="10.19921875" style="78" customWidth="1"/>
    <col min="3" max="3" width="18.69921875" style="78" customWidth="1"/>
    <col min="4" max="4" width="14.19921875" style="78" bestFit="1" customWidth="1"/>
    <col min="5" max="5" width="14.19921875" style="78" customWidth="1"/>
    <col min="6" max="6" width="14.5" style="78" customWidth="1"/>
    <col min="7" max="7" width="13.5" style="78" customWidth="1"/>
    <col min="8" max="8" width="8.69921875" style="78"/>
    <col min="9" max="9" width="46.59765625" style="78" customWidth="1"/>
    <col min="10" max="10" width="16" style="78" bestFit="1" customWidth="1"/>
    <col min="11" max="11" width="14.19921875" style="78" bestFit="1" customWidth="1"/>
    <col min="12" max="13" width="14.09765625" style="78" bestFit="1" customWidth="1"/>
    <col min="14" max="14" width="7.09765625" style="78" customWidth="1"/>
    <col min="15" max="15" width="36.5" style="78" bestFit="1" customWidth="1"/>
    <col min="16" max="16" width="8.69921875" style="78" bestFit="1" customWidth="1"/>
    <col min="17" max="17" width="14.09765625" style="78" bestFit="1" customWidth="1"/>
    <col min="18" max="18" width="8.69921875" style="78" bestFit="1" customWidth="1"/>
    <col min="19" max="19" width="14.09765625" style="78" bestFit="1" customWidth="1"/>
    <col min="20" max="16384" width="8.69921875" style="78"/>
  </cols>
  <sheetData>
    <row r="1" spans="1:16" x14ac:dyDescent="0.25">
      <c r="A1" s="87"/>
      <c r="B1" s="83"/>
      <c r="C1" s="87"/>
      <c r="D1" s="87"/>
      <c r="E1" s="88"/>
      <c r="F1" s="88"/>
      <c r="G1" s="88"/>
      <c r="H1" s="88"/>
      <c r="I1" s="87" t="s">
        <v>348</v>
      </c>
      <c r="J1" s="88"/>
      <c r="K1" s="88"/>
      <c r="L1" s="88"/>
      <c r="M1" s="88"/>
      <c r="N1" s="88"/>
      <c r="O1" s="88"/>
      <c r="P1" s="88"/>
    </row>
    <row r="2" spans="1:16" x14ac:dyDescent="0.25">
      <c r="A2" s="87" t="s">
        <v>211</v>
      </c>
      <c r="B2" s="89" t="str">
        <f>'Model Controls'!$E$2</f>
        <v>Mixed-Use Residential Mid-rise</v>
      </c>
      <c r="C2" s="88"/>
      <c r="D2" s="88"/>
      <c r="E2" s="88"/>
      <c r="F2" s="88"/>
      <c r="G2" s="88"/>
      <c r="H2" s="88"/>
      <c r="I2" s="90" t="s">
        <v>349</v>
      </c>
      <c r="J2" s="91" t="s">
        <v>350</v>
      </c>
      <c r="K2" s="91" t="s">
        <v>351</v>
      </c>
      <c r="L2" s="88"/>
      <c r="M2" s="88"/>
      <c r="N2" s="88"/>
      <c r="O2" s="88"/>
      <c r="P2" s="88"/>
    </row>
    <row r="3" spans="1:16" x14ac:dyDescent="0.25">
      <c r="A3" s="92"/>
      <c r="B3" s="93"/>
      <c r="C3" s="88"/>
      <c r="D3" s="88"/>
      <c r="E3" s="88"/>
      <c r="F3" s="88"/>
      <c r="G3" s="88"/>
      <c r="H3" s="88"/>
      <c r="I3" s="92" t="s">
        <v>352</v>
      </c>
      <c r="K3" s="94">
        <f>G21</f>
        <v>3864120</v>
      </c>
      <c r="L3" s="347"/>
      <c r="M3" s="88"/>
      <c r="N3" s="88"/>
      <c r="O3" s="88"/>
      <c r="P3" s="88"/>
    </row>
    <row r="4" spans="1:16" x14ac:dyDescent="0.25">
      <c r="A4" s="83" t="s">
        <v>353</v>
      </c>
      <c r="D4" s="88"/>
      <c r="E4" s="88"/>
      <c r="F4" s="88"/>
      <c r="G4" s="88"/>
      <c r="H4" s="88"/>
      <c r="I4" s="92" t="s">
        <v>354</v>
      </c>
      <c r="K4" s="94">
        <f>G27</f>
        <v>320263.2</v>
      </c>
      <c r="L4" s="347"/>
      <c r="M4" s="88"/>
      <c r="N4" s="88"/>
      <c r="O4" s="88"/>
      <c r="P4" s="88"/>
    </row>
    <row r="5" spans="1:16" x14ac:dyDescent="0.25">
      <c r="A5" s="87" t="s">
        <v>193</v>
      </c>
      <c r="B5" s="93" cm="1">
        <f t="array" ref="B5">INDEX('Prototype Inputs'!$C$76:$G$76,0,MATCH(Model_Scenario_Base!$B$2,'Prototype Inputs'!$C$72:$G$72,0))</f>
        <v>62000</v>
      </c>
      <c r="C5" s="88" t="str">
        <f>'Prototype Inputs'!H76</f>
        <v>square feet</v>
      </c>
      <c r="H5" s="88"/>
      <c r="I5" s="95" t="s">
        <v>355</v>
      </c>
      <c r="K5" s="96" t="str">
        <f>G31</f>
        <v>n/a</v>
      </c>
      <c r="L5" s="347"/>
      <c r="M5" s="88"/>
      <c r="N5" s="88"/>
      <c r="O5" s="88"/>
      <c r="P5" s="88"/>
    </row>
    <row r="6" spans="1:16" x14ac:dyDescent="0.25">
      <c r="A6" s="87" t="s">
        <v>356</v>
      </c>
      <c r="B6" s="93" cm="1">
        <f t="array" ref="B6">B5-(INDEX('Prototype Inputs'!$C$75:$G$75,0,MATCH(Model_Scenario_Base!$B$2,'Prototype Inputs'!$C$72:$G$72,0))*Model_Scenario_Base!$B$5)</f>
        <v>40300</v>
      </c>
      <c r="H6" s="88"/>
      <c r="I6" s="92" t="s">
        <v>357</v>
      </c>
      <c r="K6" s="97">
        <f>SUM(G32:G33)</f>
        <v>737800</v>
      </c>
      <c r="L6" s="347"/>
      <c r="M6" s="88"/>
      <c r="N6" s="88"/>
      <c r="O6" s="88"/>
      <c r="P6" s="88"/>
    </row>
    <row r="7" spans="1:16" x14ac:dyDescent="0.25">
      <c r="A7" s="98" t="s">
        <v>182</v>
      </c>
      <c r="B7" s="99" cm="1">
        <f t="array" ref="B7">INDEX('Model Inputs'!$D$55:$H$55,0,MATCH(Model_Scenario_Base!$B$2,'Model Inputs'!$D$3:$H$3,0))</f>
        <v>1</v>
      </c>
      <c r="C7" s="78" t="s">
        <v>358</v>
      </c>
      <c r="H7" s="88"/>
      <c r="I7" s="92" t="s">
        <v>359</v>
      </c>
      <c r="K7" s="97">
        <f>G47</f>
        <v>332760</v>
      </c>
      <c r="L7" s="347"/>
      <c r="M7" s="88"/>
      <c r="N7" s="88"/>
      <c r="O7" s="88"/>
      <c r="P7" s="88"/>
    </row>
    <row r="8" spans="1:16" x14ac:dyDescent="0.25">
      <c r="A8" s="98" t="s">
        <v>106</v>
      </c>
      <c r="B8" s="352">
        <f>'Model Controls'!$H$42</f>
        <v>0.1</v>
      </c>
      <c r="C8" s="78" t="s">
        <v>358</v>
      </c>
      <c r="H8" s="88"/>
      <c r="I8" s="92" t="s">
        <v>360</v>
      </c>
      <c r="K8" s="97">
        <f>SUM(K3:K7)</f>
        <v>5254943.2</v>
      </c>
      <c r="L8" s="347"/>
      <c r="M8" s="88"/>
      <c r="N8" s="88"/>
      <c r="O8" s="88"/>
      <c r="P8" s="88"/>
    </row>
    <row r="9" spans="1:16" x14ac:dyDescent="0.25">
      <c r="A9" s="87" t="s">
        <v>361</v>
      </c>
      <c r="B9" s="93" cm="1">
        <f t="array" ref="B9">INDEX('Prototype Inputs'!$C$77:$G$77,0,MATCH(Model_Scenario_Base!$B$2,'Prototype Inputs'!$C$72:$G$72,0))</f>
        <v>130200</v>
      </c>
      <c r="H9" s="88"/>
      <c r="I9" s="90" t="s">
        <v>362</v>
      </c>
      <c r="J9" s="100"/>
      <c r="K9" s="97"/>
      <c r="L9" s="88"/>
      <c r="M9" s="88"/>
      <c r="N9" s="88"/>
      <c r="O9" s="88"/>
      <c r="P9" s="88"/>
    </row>
    <row r="10" spans="1:16" x14ac:dyDescent="0.25">
      <c r="A10" s="87" t="s">
        <v>231</v>
      </c>
      <c r="B10" s="101" cm="1">
        <f t="array" ref="B10">INDEX('Prototype Inputs'!$C$98:$G$98,0,MATCH(Model_Scenario_Base!$B$2,'Prototype Inputs'!$C$72:$G$72,0))</f>
        <v>136</v>
      </c>
      <c r="H10" s="88"/>
      <c r="I10" s="92" t="s">
        <v>363</v>
      </c>
      <c r="J10" s="204" cm="1">
        <f t="array" ref="J10">INDEX('Model Inputs'!$D$38:$H$38,0,MATCH($B$2,'Model Inputs'!$D$3:$H$3,0))</f>
        <v>0.05</v>
      </c>
      <c r="K10" s="94">
        <f>IFERROR(-(SUM(K3:K4)*J10),"n/a")</f>
        <v>-209219.16000000003</v>
      </c>
      <c r="M10" s="88"/>
      <c r="N10" s="88"/>
      <c r="O10" s="88"/>
      <c r="P10" s="88"/>
    </row>
    <row r="11" spans="1:16" x14ac:dyDescent="0.25">
      <c r="A11" s="87" t="s">
        <v>364</v>
      </c>
      <c r="B11" s="93" cm="1">
        <f t="array" ref="B11">INDEX('Prototype Inputs'!$C$119:$G$119,0,MATCH(Model_Scenario_Base!$B$2,'Prototype Inputs'!$C$72:$G$72,0))</f>
        <v>136</v>
      </c>
      <c r="C11" s="555"/>
      <c r="D11" s="354"/>
      <c r="H11" s="88"/>
      <c r="I11" s="92" t="s">
        <v>160</v>
      </c>
      <c r="J11" s="204" t="str" cm="1">
        <f t="array" ref="J11">INDEX('Model Inputs'!$D$39:$H$39,0,MATCH($B$2,'Model Inputs'!$D$3:$H$3,0))</f>
        <v>n/a</v>
      </c>
      <c r="K11" s="94" t="str">
        <f>IFERROR(-(K5*J11),"n/a")</f>
        <v>n/a</v>
      </c>
      <c r="M11" s="88"/>
      <c r="N11" s="88"/>
      <c r="O11" s="88"/>
      <c r="P11" s="88"/>
    </row>
    <row r="12" spans="1:16" x14ac:dyDescent="0.25">
      <c r="A12" s="117" t="s">
        <v>338</v>
      </c>
      <c r="B12" s="93" cm="1">
        <f t="array" ref="B12">INDEX('Prototype Inputs'!$C$124:$G$124,0,MATCH(Model_Scenario_Base!$B$2,'Prototype Inputs'!$C$72:$G$72,0))</f>
        <v>0</v>
      </c>
      <c r="H12" s="88"/>
      <c r="I12" s="92" t="s">
        <v>162</v>
      </c>
      <c r="J12" s="128" cm="1">
        <f t="array" ref="J12">INDEX('Model Inputs'!$D$40:$H$40,0,MATCH($B$2,'Model Inputs'!$D$3:$H$3,0))</f>
        <v>0.2</v>
      </c>
      <c r="K12" s="97">
        <f>-(K6*J12)</f>
        <v>-147560</v>
      </c>
      <c r="M12" s="88"/>
      <c r="N12" s="88"/>
      <c r="O12" s="88"/>
      <c r="P12" s="88"/>
    </row>
    <row r="13" spans="1:16" x14ac:dyDescent="0.25">
      <c r="A13" s="117" t="s">
        <v>327</v>
      </c>
      <c r="B13" s="93" cm="1">
        <f t="array" ref="B13">INDEX('Prototype Inputs'!$C$125:$G$125,0,MATCH(Model_Scenario_Base!$B$2,'Prototype Inputs'!$C$72:$G$72,0))</f>
        <v>136</v>
      </c>
      <c r="H13" s="88"/>
      <c r="I13" s="95" t="s">
        <v>156</v>
      </c>
      <c r="J13" s="204" cm="1">
        <f t="array" ref="J13">IF(OR('Model Controls'!$E$2='Lookup Lists'!$B$5,'Model Controls'!$E$2='Lookup Lists'!$B$6),INDEX('Model Inputs'!$D$39:$H$39,0,MATCH($B$2,'Model Inputs'!$D$3:$H$3,0)),INDEX('Model Inputs'!$D$38:$H$38,0,MATCH($B$2,'Model Inputs'!$D$3:$H$3,0)))</f>
        <v>0.05</v>
      </c>
      <c r="K13" s="94">
        <f>IFERROR(-(K7*J13),"n/a")</f>
        <v>-16638</v>
      </c>
      <c r="M13" s="91"/>
      <c r="N13" s="87"/>
      <c r="O13" s="88"/>
      <c r="P13" s="88"/>
    </row>
    <row r="14" spans="1:16" x14ac:dyDescent="0.25">
      <c r="H14" s="88"/>
      <c r="I14" s="90" t="s">
        <v>365</v>
      </c>
      <c r="J14" s="109"/>
      <c r="K14" s="97">
        <f>SUM(K8:K13)</f>
        <v>4881526.04</v>
      </c>
      <c r="L14" s="88"/>
      <c r="M14" s="88"/>
      <c r="N14" s="88"/>
      <c r="O14" s="88"/>
      <c r="P14" s="88"/>
    </row>
    <row r="15" spans="1:16" x14ac:dyDescent="0.25">
      <c r="A15" s="87" t="s">
        <v>366</v>
      </c>
      <c r="B15" s="91" t="s">
        <v>231</v>
      </c>
      <c r="C15" s="201" t="s">
        <v>367</v>
      </c>
      <c r="D15" s="91" t="s">
        <v>368</v>
      </c>
      <c r="E15" s="201" t="s">
        <v>369</v>
      </c>
      <c r="F15" s="201" t="s">
        <v>370</v>
      </c>
      <c r="G15" s="201" t="s">
        <v>371</v>
      </c>
      <c r="H15" s="88"/>
      <c r="I15" s="90" t="s">
        <v>372</v>
      </c>
      <c r="J15" s="128" cm="1">
        <f t="array" ref="J15">INDEX('Model Inputs'!$D$41:$H$41,0,MATCH(Model_Scenario_Base!$B$2,'Model Inputs'!$D$3:$H$3,0))</f>
        <v>0.3</v>
      </c>
      <c r="K15" s="97">
        <f>K14*J15</f>
        <v>1464457.8119999999</v>
      </c>
      <c r="L15" s="88"/>
      <c r="N15" s="88"/>
      <c r="O15" s="87" t="s">
        <v>373</v>
      </c>
      <c r="P15" s="88"/>
    </row>
    <row r="16" spans="1:16" ht="14.4" thickBot="1" x14ac:dyDescent="0.3">
      <c r="A16" s="64" t="s">
        <v>374</v>
      </c>
      <c r="B16" s="47"/>
      <c r="C16" s="47"/>
      <c r="D16" s="47"/>
      <c r="E16" s="47"/>
      <c r="F16" s="47"/>
      <c r="G16" s="47"/>
      <c r="H16" s="88"/>
      <c r="I16" s="90" t="s">
        <v>375</v>
      </c>
      <c r="J16" s="97"/>
      <c r="K16" s="106">
        <f>K14-K15</f>
        <v>3417068.2280000001</v>
      </c>
      <c r="L16" s="347"/>
      <c r="M16" s="88"/>
      <c r="N16" s="88"/>
      <c r="P16" s="88"/>
    </row>
    <row r="17" spans="1:19" x14ac:dyDescent="0.25">
      <c r="A17" s="102" t="s">
        <v>146</v>
      </c>
      <c r="B17" s="103">
        <f>IFERROR(INDEX('Unit Mix'!$C$38:$G$41,MATCH(Model_Scenario_Base!$A17,'Unit Mix'!$B$38:$B$41,0),MATCH(Model_Scenario_Base!$B$2,'Unit Mix'!$C$36:$G$36,0)),"n/a")</f>
        <v>36</v>
      </c>
      <c r="C17" s="103">
        <f>INDEX('Prototype Inputs'!$C$109:$G$112,MATCH(Model_Scenario_Base!$A17,'Prototype Inputs'!$B$109:$B$112,0),MATCH(Model_Scenario_Base!$B$2,'Prototype Inputs'!$C$72:$G$72,0))</f>
        <v>550</v>
      </c>
      <c r="D17" s="104">
        <f>INDEX('Model Inputs'!$D$5:$H$8,MATCH($A17,'Model Inputs'!$C$5:$C$8,0),MATCH($B$2,'Model Inputs'!$D$3:$H$3,0))</f>
        <v>4.2</v>
      </c>
      <c r="E17" s="96">
        <f>IFERROR(D17*C17,"n/a")</f>
        <v>2310</v>
      </c>
      <c r="F17" s="96">
        <f>IFERROR(E17*B17,"n/a")</f>
        <v>83160</v>
      </c>
      <c r="G17" s="105">
        <f>IFERROR(F17*12,"n/a")</f>
        <v>997920</v>
      </c>
      <c r="H17" s="88"/>
      <c r="I17" s="88"/>
      <c r="J17" s="88"/>
      <c r="K17" s="88"/>
      <c r="L17" s="88"/>
      <c r="M17" s="88"/>
      <c r="O17" s="374" t="s">
        <v>376</v>
      </c>
      <c r="P17" s="373" t="s">
        <v>350</v>
      </c>
      <c r="Q17" s="373" t="s">
        <v>157</v>
      </c>
      <c r="R17" s="373" t="s">
        <v>350</v>
      </c>
      <c r="S17" s="140" t="s">
        <v>157</v>
      </c>
    </row>
    <row r="18" spans="1:19" x14ac:dyDescent="0.25">
      <c r="A18" s="102" t="s">
        <v>148</v>
      </c>
      <c r="B18" s="103">
        <f>IFERROR(INDEX('Unit Mix'!$C$38:$G$41,MATCH(Model_Scenario_Base!$A18,'Unit Mix'!$B$38:$B$41,0),MATCH(Model_Scenario_Base!$B$2,'Unit Mix'!$C$36:$G$36,0)),"n/a")</f>
        <v>74</v>
      </c>
      <c r="C18" s="103">
        <f>INDEX('Prototype Inputs'!$C$109:$G$112,MATCH(Model_Scenario_Base!$A18,'Prototype Inputs'!$B$109:$B$112,0),MATCH(Model_Scenario_Base!$B$2,'Prototype Inputs'!$C$72:$G$72,0))</f>
        <v>700</v>
      </c>
      <c r="D18" s="104">
        <f>INDEX('Model Inputs'!$D$5:$H$8,MATCH($A18,'Model Inputs'!$C$5:$C$8,0),MATCH($B$2,'Model Inputs'!$D$3:$H$3,0))</f>
        <v>3.85</v>
      </c>
      <c r="E18" s="96">
        <f t="shared" ref="E18:E20" si="0">IFERROR(D18*C18,"n/a")</f>
        <v>2695</v>
      </c>
      <c r="F18" s="96">
        <f>IFERROR(E18*B18,"n/a")</f>
        <v>199430</v>
      </c>
      <c r="G18" s="105">
        <f>IFERROR(F18*12,"n/a")</f>
        <v>2393160</v>
      </c>
      <c r="H18" s="88"/>
      <c r="I18" s="107" t="s">
        <v>376</v>
      </c>
      <c r="J18" s="91" t="s">
        <v>350</v>
      </c>
      <c r="K18" s="91" t="s">
        <v>157</v>
      </c>
      <c r="L18" s="91" t="s">
        <v>377</v>
      </c>
      <c r="M18" s="347"/>
      <c r="O18" s="108" t="s">
        <v>177</v>
      </c>
      <c r="P18" s="97">
        <f>J19+25</f>
        <v>339.07000000000005</v>
      </c>
      <c r="Q18" s="109">
        <f>P18*$B9</f>
        <v>44146914.000000007</v>
      </c>
      <c r="R18" s="97">
        <f>J19-25</f>
        <v>289.07000000000005</v>
      </c>
      <c r="S18" s="109">
        <f>R18*$B9</f>
        <v>37636914.000000007</v>
      </c>
    </row>
    <row r="19" spans="1:19" x14ac:dyDescent="0.25">
      <c r="A19" s="102" t="s">
        <v>149</v>
      </c>
      <c r="B19" s="103">
        <f>IFERROR(INDEX('Unit Mix'!$C$38:$G$41,MATCH(Model_Scenario_Base!$A19,'Unit Mix'!$B$38:$B$41,0),MATCH(Model_Scenario_Base!$B$2,'Unit Mix'!$C$36:$G$36,0)),"n/a")</f>
        <v>12</v>
      </c>
      <c r="C19" s="103">
        <f>INDEX('Prototype Inputs'!$C$109:$G$112,MATCH(Model_Scenario_Base!$A19,'Prototype Inputs'!$B$109:$B$112,0),MATCH(Model_Scenario_Base!$B$2,'Prototype Inputs'!$C$72:$G$72,0))</f>
        <v>900</v>
      </c>
      <c r="D19" s="104">
        <f>INDEX('Model Inputs'!$D$5:$H$8,MATCH($A19,'Model Inputs'!$C$5:$C$8,0),MATCH($B$2,'Model Inputs'!$D$3:$H$3,0))</f>
        <v>3.65</v>
      </c>
      <c r="E19" s="96">
        <f t="shared" si="0"/>
        <v>3285</v>
      </c>
      <c r="F19" s="96">
        <f t="shared" ref="F19:F20" si="1">IFERROR(E19*B19,"n/a")</f>
        <v>39420</v>
      </c>
      <c r="G19" s="105">
        <f t="shared" ref="G19:G20" si="2">IFERROR(F19*12,"n/a")</f>
        <v>473040</v>
      </c>
      <c r="H19" s="88"/>
      <c r="I19" s="108" t="s">
        <v>177</v>
      </c>
      <c r="J19" s="109" cm="1">
        <f t="array" ref="J19">INDEX('Model Inputs'!$D$47:$H$47,0,MATCH(Model_Scenario_Base!$B$2,'Model Inputs'!$D$3:$H$3,0))</f>
        <v>314.07000000000005</v>
      </c>
      <c r="K19" s="109">
        <f>J19*$B9</f>
        <v>40891914.000000007</v>
      </c>
      <c r="L19" s="110">
        <f>IFERROR(K19/$B$10,"n/a")</f>
        <v>300675.83823529416</v>
      </c>
      <c r="M19" s="347"/>
      <c r="O19" s="95" t="s">
        <v>378</v>
      </c>
      <c r="P19" s="348">
        <f>$J20</f>
        <v>0</v>
      </c>
      <c r="Q19" s="109">
        <f>Q18*P19</f>
        <v>0</v>
      </c>
      <c r="R19" s="348">
        <f>$J20</f>
        <v>0</v>
      </c>
      <c r="S19" s="109">
        <f>S18*R19</f>
        <v>0</v>
      </c>
    </row>
    <row r="20" spans="1:19" x14ac:dyDescent="0.25">
      <c r="A20" s="102" t="s">
        <v>150</v>
      </c>
      <c r="B20" s="103">
        <f>IFERROR(INDEX('Unit Mix'!$C$38:$G$41,MATCH(Model_Scenario_Base!$A20,'Unit Mix'!$B$38:$B$41,0),MATCH(Model_Scenario_Base!$B$2,'Unit Mix'!$C$36:$G$36,0)),"n/a")</f>
        <v>0</v>
      </c>
      <c r="C20" s="103">
        <f>INDEX('Prototype Inputs'!$C$109:$G$112,MATCH(Model_Scenario_Base!$A20,'Prototype Inputs'!$B$109:$B$112,0),MATCH(Model_Scenario_Base!$B$2,'Prototype Inputs'!$C$72:$G$72,0))</f>
        <v>1200</v>
      </c>
      <c r="D20" s="104">
        <f>INDEX('Model Inputs'!$D$5:$H$8,MATCH($A20,'Model Inputs'!$C$5:$C$8,0),MATCH($B$2,'Model Inputs'!$D$3:$H$3,0))</f>
        <v>3.45</v>
      </c>
      <c r="E20" s="96">
        <f t="shared" si="0"/>
        <v>4140</v>
      </c>
      <c r="F20" s="96">
        <f t="shared" si="1"/>
        <v>0</v>
      </c>
      <c r="G20" s="105">
        <f t="shared" si="2"/>
        <v>0</v>
      </c>
      <c r="H20" s="88"/>
      <c r="I20" s="95" t="s">
        <v>378</v>
      </c>
      <c r="J20" s="353">
        <f>'Model Controls'!$H$47</f>
        <v>0</v>
      </c>
      <c r="K20" s="109">
        <f>K19*$J20</f>
        <v>0</v>
      </c>
      <c r="L20" s="110">
        <f t="shared" ref="L20" si="3">IFERROR(K20/$B$10,"n/a")</f>
        <v>0</v>
      </c>
      <c r="M20" s="347"/>
      <c r="O20" s="108" t="s">
        <v>178</v>
      </c>
    </row>
    <row r="21" spans="1:19" x14ac:dyDescent="0.25">
      <c r="A21" s="107" t="s">
        <v>379</v>
      </c>
      <c r="B21" s="111">
        <f>IF(SUM(B17:B20)=0,"n/a",SUM(B17:B20))</f>
        <v>122</v>
      </c>
      <c r="C21" s="112">
        <f>IFERROR(SUMPRODUCT($B$17:$B$20,$C$17:$C$20)/SUM($B$17:$B$20),"n/a")</f>
        <v>675.40983606557381</v>
      </c>
      <c r="D21" s="113">
        <f>IFERROR(SUMPRODUCT($B$17:$B$20,$D$17:$D$20)/SUM($B$17:$B$20),"n/a")</f>
        <v>3.9336065573770496</v>
      </c>
      <c r="E21" s="114">
        <f>IFERROR(SUMPRODUCT($B$17:$B$20,$E$17:$E$20)/SUM($B$17:$B$20),"n/a")</f>
        <v>2639.4262295081967</v>
      </c>
      <c r="F21" s="114">
        <f>IF(SUM(F17:F20)=0,"n/a",SUM(F17:F20))</f>
        <v>322010</v>
      </c>
      <c r="G21" s="114">
        <f>IF(SUM(G17:G20)=0,"n/a",SUM(G17:G20))</f>
        <v>3864120</v>
      </c>
      <c r="H21" s="88"/>
      <c r="I21" s="108" t="s">
        <v>178</v>
      </c>
      <c r="L21" s="110"/>
      <c r="O21" s="95" t="s">
        <v>338</v>
      </c>
      <c r="P21" s="109">
        <f>$J22</f>
        <v>5000</v>
      </c>
      <c r="Q21" s="109">
        <f>P21*$B12</f>
        <v>0</v>
      </c>
      <c r="R21" s="109">
        <f>$J22</f>
        <v>5000</v>
      </c>
      <c r="S21" s="109">
        <f>R21*$B12</f>
        <v>0</v>
      </c>
    </row>
    <row r="22" spans="1:19" x14ac:dyDescent="0.25">
      <c r="A22" s="64" t="s">
        <v>380</v>
      </c>
      <c r="B22" s="47"/>
      <c r="C22" s="47"/>
      <c r="D22" s="47"/>
      <c r="E22" s="47"/>
      <c r="F22" s="47"/>
      <c r="G22" s="47"/>
      <c r="H22" s="88"/>
      <c r="I22" s="95" t="s">
        <v>338</v>
      </c>
      <c r="J22" s="121" cm="1">
        <f t="array" ref="J22">INDEX('Model Inputs'!$D$48:$H$48,0,MATCH(Model_Scenario_Base!$B$2,'Model Inputs'!$D$3:$H$3,0))</f>
        <v>5000</v>
      </c>
      <c r="K22" s="109">
        <f>J22*$B12</f>
        <v>0</v>
      </c>
      <c r="L22" s="110">
        <f t="shared" ref="L22" si="4">IFERROR(K24/$B$10,"n/a")</f>
        <v>0</v>
      </c>
      <c r="O22" s="95" t="s">
        <v>327</v>
      </c>
      <c r="P22" s="109">
        <f>$J23</f>
        <v>82650</v>
      </c>
      <c r="Q22" s="109">
        <f>P22*$B13</f>
        <v>11240400</v>
      </c>
      <c r="R22" s="109">
        <f>$J23</f>
        <v>82650</v>
      </c>
      <c r="S22" s="109">
        <f>R22*$B13</f>
        <v>11240400</v>
      </c>
    </row>
    <row r="23" spans="1:19" x14ac:dyDescent="0.25">
      <c r="A23" s="102" t="s">
        <v>146</v>
      </c>
      <c r="B23" s="103">
        <f>IFERROR(INDEX('Unit Mix'!$C$45:$G$48,MATCH(Model_Scenario_Base!$A23,'Unit Mix'!$B$45:$B$48,0),MATCH(Model_Scenario_Base!$B$2,'Unit Mix'!$C$36:$G$36,0)),"n/a")</f>
        <v>4</v>
      </c>
      <c r="C23" s="103">
        <f>INDEX('Prototype Inputs'!$C$109:$G$112,MATCH(Model_Scenario_Base!$A23,'Prototype Inputs'!$B$109:$B$112,0),MATCH(Model_Scenario_Base!$B$2,'Prototype Inputs'!$C$72:$G$72,0))</f>
        <v>550</v>
      </c>
      <c r="D23" s="115"/>
      <c r="E23" s="96">
        <f>INDEX('Model Inputs'!$D$10:$H$13,MATCH($A23,'Model Inputs'!$C$10:$C$13,0),MATCH($B$2,'Model Inputs'!$D$3:$H$3,0))</f>
        <v>1795.6</v>
      </c>
      <c r="F23" s="96">
        <f>IFERROR(E23*B23,"n/a")</f>
        <v>7182.4</v>
      </c>
      <c r="G23" s="105">
        <f>IFERROR(F23*12,"n/a")</f>
        <v>86188.799999999988</v>
      </c>
      <c r="H23" s="88"/>
      <c r="I23" s="95" t="s">
        <v>327</v>
      </c>
      <c r="J23" s="121" cm="1">
        <f t="array" ref="J23">INDEX('Model Inputs'!$D$49:$H$49,0,MATCH(Model_Scenario_Base!$B$2,'Model Inputs'!$D$3:$H$3,0))</f>
        <v>82650</v>
      </c>
      <c r="K23" s="109">
        <f>J23*$B13</f>
        <v>11240400</v>
      </c>
      <c r="L23" s="110">
        <f>IFERROR(K23/$B$10,"n/a")</f>
        <v>82650</v>
      </c>
      <c r="M23" s="347"/>
      <c r="O23" s="108" t="s">
        <v>381</v>
      </c>
      <c r="P23" s="88"/>
      <c r="Q23" s="88"/>
    </row>
    <row r="24" spans="1:19" x14ac:dyDescent="0.25">
      <c r="A24" s="102" t="s">
        <v>148</v>
      </c>
      <c r="B24" s="103">
        <f>IFERROR(INDEX('Unit Mix'!$C$45:$G$48,MATCH(Model_Scenario_Base!$A24,'Unit Mix'!$B$45:$B$48,0),MATCH(Model_Scenario_Base!$B$2,'Unit Mix'!$C$36:$G$36,0)),"n/a")</f>
        <v>9</v>
      </c>
      <c r="C24" s="103">
        <f>INDEX('Prototype Inputs'!$C$109:$G$112,MATCH(Model_Scenario_Base!$A24,'Prototype Inputs'!$B$109:$B$112,0),MATCH(Model_Scenario_Base!$B$2,'Prototype Inputs'!$C$72:$G$72,0))</f>
        <v>700</v>
      </c>
      <c r="D24" s="115"/>
      <c r="E24" s="96">
        <f>INDEX('Model Inputs'!$D$10:$H$13,MATCH($A24,'Model Inputs'!$C$10:$C$13,0),MATCH($B$2,'Model Inputs'!$D$3:$H$3,0))</f>
        <v>1911</v>
      </c>
      <c r="F24" s="96">
        <f>IFERROR(E24*B24,"n/a")</f>
        <v>17199</v>
      </c>
      <c r="G24" s="105">
        <f>IFERROR(F24*12,"n/a")</f>
        <v>206388</v>
      </c>
      <c r="H24" s="88"/>
      <c r="I24" s="108" t="s">
        <v>381</v>
      </c>
      <c r="J24" s="109"/>
      <c r="K24" s="109"/>
      <c r="L24" s="109"/>
      <c r="M24" s="347"/>
      <c r="O24" s="98" t="s">
        <v>182</v>
      </c>
      <c r="P24" s="97">
        <f>$J25</f>
        <v>10</v>
      </c>
      <c r="Q24" s="109">
        <f>P24*($B7*$B$5)</f>
        <v>620000</v>
      </c>
      <c r="R24" s="97">
        <f>$J25</f>
        <v>10</v>
      </c>
      <c r="S24" s="109">
        <f>R24*($B7*$B$5)</f>
        <v>620000</v>
      </c>
    </row>
    <row r="25" spans="1:19" x14ac:dyDescent="0.25">
      <c r="A25" s="102" t="s">
        <v>149</v>
      </c>
      <c r="B25" s="103">
        <f>IFERROR(INDEX('Unit Mix'!$C$45:$G$48,MATCH(Model_Scenario_Base!$A25,'Unit Mix'!$B$45:$B$48,0),MATCH(Model_Scenario_Base!$B$2,'Unit Mix'!$C$36:$G$36,0)),"n/a")</f>
        <v>1</v>
      </c>
      <c r="C25" s="103">
        <f>INDEX('Prototype Inputs'!$C$109:$G$112,MATCH(Model_Scenario_Base!$A25,'Prototype Inputs'!$B$109:$B$112,0),MATCH(Model_Scenario_Base!$B$2,'Prototype Inputs'!$C$72:$G$72,0))</f>
        <v>900</v>
      </c>
      <c r="D25" s="115"/>
      <c r="E25" s="96">
        <f>INDEX('Model Inputs'!$D$10:$H$13,MATCH($A25,'Model Inputs'!$C$10:$C$13,0),MATCH($B$2,'Model Inputs'!$D$3:$H$3,0))</f>
        <v>2307.1999999999998</v>
      </c>
      <c r="F25" s="96">
        <f>IFERROR(E25*B25,"n/a")</f>
        <v>2307.1999999999998</v>
      </c>
      <c r="G25" s="105">
        <f>IFERROR(F25*12,"n/a")</f>
        <v>27686.399999999998</v>
      </c>
      <c r="H25" s="88"/>
      <c r="I25" s="98" t="s">
        <v>182</v>
      </c>
      <c r="J25" s="109" cm="1">
        <f t="array" ref="J25">INDEX('Model Inputs'!$D$56:$H$56,0,MATCH(Model_Scenario_Base!$B$2,'Model Inputs'!$D$3:$H$3,0))</f>
        <v>10</v>
      </c>
      <c r="K25" s="109">
        <f>J25*($B7*$B$5)</f>
        <v>620000</v>
      </c>
      <c r="L25" s="110">
        <f>IFERROR(K25/$B$10,"n/a")</f>
        <v>4558.8235294117649</v>
      </c>
      <c r="M25" s="347"/>
      <c r="O25" s="98" t="s">
        <v>106</v>
      </c>
      <c r="P25" s="97">
        <f>$J26</f>
        <v>5</v>
      </c>
      <c r="Q25" s="109">
        <f>P25*($B8*$B$5)</f>
        <v>31000</v>
      </c>
      <c r="R25" s="97">
        <f>$J26</f>
        <v>5</v>
      </c>
      <c r="S25" s="109">
        <f>R25*($B8*$B$5)</f>
        <v>31000</v>
      </c>
    </row>
    <row r="26" spans="1:19" x14ac:dyDescent="0.25">
      <c r="A26" s="102" t="s">
        <v>150</v>
      </c>
      <c r="B26" s="103">
        <f>IFERROR(INDEX('Unit Mix'!$C$45:$G$48,MATCH(Model_Scenario_Base!$A26,'Unit Mix'!$B$45:$B$48,0),MATCH(Model_Scenario_Base!$B$2,'Unit Mix'!$C$36:$G$36,0)),"n/a")</f>
        <v>0</v>
      </c>
      <c r="C26" s="103">
        <f>INDEX('Prototype Inputs'!$C$109:$G$112,MATCH(Model_Scenario_Base!$A26,'Prototype Inputs'!$B$109:$B$112,0),MATCH(Model_Scenario_Base!$B$2,'Prototype Inputs'!$C$72:$G$72,0))</f>
        <v>1200</v>
      </c>
      <c r="D26" s="115"/>
      <c r="E26" s="96">
        <f>INDEX('Model Inputs'!$D$10:$H$13,MATCH($A26,'Model Inputs'!$C$10:$C$13,0),MATCH($B$2,'Model Inputs'!$D$3:$H$3,0))</f>
        <v>2663.9199999999996</v>
      </c>
      <c r="F26" s="96">
        <f>IFERROR(E26*B26,"n/a")</f>
        <v>0</v>
      </c>
      <c r="G26" s="105">
        <f>IFERROR(F26*12,"n/a")</f>
        <v>0</v>
      </c>
      <c r="H26" s="88"/>
      <c r="I26" s="98" t="s">
        <v>106</v>
      </c>
      <c r="J26" s="109" cm="1">
        <f t="array" ref="J26">INDEX('Model Inputs'!$D$57:$H$57,0,MATCH(Model_Scenario_Base!$B$2,'Model Inputs'!$D$3:$H$3,0))</f>
        <v>5</v>
      </c>
      <c r="K26" s="109">
        <f>J26*(B8*$B$5)</f>
        <v>31000</v>
      </c>
      <c r="L26" s="110">
        <f>IFERROR(K26/$B$10,"n/a")</f>
        <v>227.94117647058823</v>
      </c>
      <c r="M26" s="347"/>
      <c r="O26" s="117" t="s">
        <v>181</v>
      </c>
      <c r="P26" s="88"/>
      <c r="Q26" s="88"/>
      <c r="R26" s="88"/>
    </row>
    <row r="27" spans="1:19" x14ac:dyDescent="0.25">
      <c r="A27" s="107" t="s">
        <v>382</v>
      </c>
      <c r="B27" s="111">
        <f>IF(SUM(B23:B26)=0,"n/a",SUM(B23:B26))</f>
        <v>14</v>
      </c>
      <c r="C27" s="112">
        <f>IFERROR(SUMPRODUCT($B$17:$B$20,$C$17:$C$20)/SUM($B$17:$B$20),"n/a")</f>
        <v>675.40983606557381</v>
      </c>
      <c r="D27" s="115"/>
      <c r="E27" s="114">
        <f>IFERROR(SUMPRODUCT($B$23:$B$26,$E$23:$E$26)/SUM($B$23:$B$26),"n/a")</f>
        <v>1906.3285714285716</v>
      </c>
      <c r="F27" s="114">
        <f>IF(SUM(F23:F26)=0,"n/a",SUM(F23:F26))</f>
        <v>26688.600000000002</v>
      </c>
      <c r="G27" s="114">
        <f>IF(SUM(G23:G26)=0,"n/a",SUM(G23:G26))</f>
        <v>320263.2</v>
      </c>
      <c r="H27" s="88"/>
      <c r="I27" s="117" t="s">
        <v>181</v>
      </c>
      <c r="M27" s="347"/>
      <c r="O27" s="95" t="s">
        <v>162</v>
      </c>
      <c r="P27" s="109">
        <f>$J28</f>
        <v>100</v>
      </c>
      <c r="Q27" s="109">
        <f>P27*SUM($C$32:$C$33)</f>
        <v>1844500</v>
      </c>
      <c r="R27" s="109">
        <f>$J28</f>
        <v>100</v>
      </c>
      <c r="S27" s="109">
        <f>R27*SUM($C$32:$C$33)</f>
        <v>1844500</v>
      </c>
    </row>
    <row r="28" spans="1:19" x14ac:dyDescent="0.25">
      <c r="A28" s="102" t="s">
        <v>383</v>
      </c>
      <c r="F28" s="119">
        <f>IF(SUM(F21,F27)=0,"n/a",SUM(F21,F27))</f>
        <v>348698.6</v>
      </c>
      <c r="G28" s="119">
        <f>IF(SUM(G21,G27)=0,"n/a",SUM(G21,G27))</f>
        <v>4184383.2</v>
      </c>
      <c r="H28" s="88"/>
      <c r="I28" s="95" t="s">
        <v>162</v>
      </c>
      <c r="J28" s="109" cm="1">
        <f t="array" ref="J28">INDEX('Model Inputs'!$D$54:$H$54,0,MATCH(Model_Scenario_Base!$B$2,'Model Inputs'!$D$3:$H$3,0))</f>
        <v>100</v>
      </c>
      <c r="K28" s="109">
        <f>J28*SUM($C$32:$C$33)</f>
        <v>1844500</v>
      </c>
      <c r="L28" s="110">
        <f t="shared" ref="L28:L30" si="5">IFERROR(K28/$B$10,"n/a")</f>
        <v>13562.5</v>
      </c>
      <c r="M28" s="347"/>
      <c r="O28" s="95" t="s">
        <v>160</v>
      </c>
      <c r="P28" s="110" t="str">
        <f>$J29</f>
        <v>n/a</v>
      </c>
      <c r="Q28" s="109">
        <f>IFERROR(P28*$C$31,0)</f>
        <v>0</v>
      </c>
      <c r="R28" s="110" t="str">
        <f>$J29</f>
        <v>n/a</v>
      </c>
      <c r="S28" s="109">
        <f>IFERROR(R28*$C$31,0)</f>
        <v>0</v>
      </c>
    </row>
    <row r="29" spans="1:19" x14ac:dyDescent="0.25">
      <c r="H29" s="88"/>
      <c r="I29" s="95" t="s">
        <v>160</v>
      </c>
      <c r="J29" s="110" t="str" cm="1">
        <f t="array" ref="J29">INDEX('Model Inputs'!$D$53:$H$53,0,MATCH(Model_Scenario_Base!$B$2,'Model Inputs'!$D$3:$H$3,0))</f>
        <v>n/a</v>
      </c>
      <c r="K29" s="109">
        <f>IFERROR(J29*$C$31,0)</f>
        <v>0</v>
      </c>
      <c r="L29" s="110">
        <f t="shared" si="5"/>
        <v>0</v>
      </c>
      <c r="M29" s="347"/>
      <c r="O29" s="108" t="s">
        <v>179</v>
      </c>
      <c r="P29" s="120">
        <f>$J31</f>
        <v>0.25</v>
      </c>
      <c r="Q29" s="109">
        <f>P29*SUM(Q$18:Q$22)</f>
        <v>13846828.500000002</v>
      </c>
      <c r="R29" s="120">
        <f>$J31</f>
        <v>0.25</v>
      </c>
      <c r="S29" s="109">
        <f>R29*SUM(S$18:S$22)</f>
        <v>12219328.500000002</v>
      </c>
    </row>
    <row r="30" spans="1:19" x14ac:dyDescent="0.25">
      <c r="A30" s="83" t="s">
        <v>384</v>
      </c>
      <c r="B30" s="134" t="s">
        <v>231</v>
      </c>
      <c r="C30" s="184" t="s">
        <v>367</v>
      </c>
      <c r="D30" s="184" t="s">
        <v>385</v>
      </c>
      <c r="E30" s="201" t="s">
        <v>369</v>
      </c>
      <c r="F30" s="201" t="s">
        <v>370</v>
      </c>
      <c r="G30" s="201" t="s">
        <v>371</v>
      </c>
      <c r="H30" s="88"/>
      <c r="I30" s="117" t="s">
        <v>386</v>
      </c>
      <c r="K30" s="183">
        <f>'Site Calcs'!$C$21</f>
        <v>0</v>
      </c>
      <c r="L30" s="110">
        <f t="shared" si="5"/>
        <v>0</v>
      </c>
      <c r="M30" s="347"/>
      <c r="O30" s="108" t="s">
        <v>180</v>
      </c>
      <c r="P30" s="120">
        <f>$J32</f>
        <v>0.1</v>
      </c>
      <c r="Q30" s="109">
        <f>P30*SUM(Q$18:Q$22)</f>
        <v>5538731.4000000013</v>
      </c>
      <c r="R30" s="120">
        <f>$J32</f>
        <v>0.1</v>
      </c>
      <c r="S30" s="109">
        <f>R30*SUM(S$18:S$22)</f>
        <v>4887731.4000000013</v>
      </c>
    </row>
    <row r="31" spans="1:19" x14ac:dyDescent="0.25">
      <c r="A31" s="117" t="s">
        <v>160</v>
      </c>
      <c r="B31" s="115"/>
      <c r="C31" s="122">
        <f>INDEX('Prototype Inputs'!$C$83:$G$84,MATCH(Model_Scenario_Base!$A31,'Prototype Inputs'!$B$83:$B$84,0),MATCH(Model_Scenario_Base!$B$2,'Prototype Inputs'!$C$72:$G$72,0))</f>
        <v>0</v>
      </c>
      <c r="D31" s="104" t="str">
        <f>INDEX('Model Inputs'!$D$20:$H$21,MATCH(Model_Scenario_Base!$A31,'Model Inputs'!$C$20:$C$21,0),MATCH(Model_Scenario_Base!$B$2,'Model Inputs'!$D$3:$H$3,0))</f>
        <v>n/a</v>
      </c>
      <c r="E31" s="115"/>
      <c r="F31" s="96" t="str">
        <f>IFERROR((D31*C31)/12,"n/a")</f>
        <v>n/a</v>
      </c>
      <c r="G31" s="96" t="str">
        <f>IFERROR(F31*12,"n/a")</f>
        <v>n/a</v>
      </c>
      <c r="I31" s="108" t="s">
        <v>179</v>
      </c>
      <c r="J31" s="120" cm="1">
        <f t="array" ref="J31">INDEX('Model Inputs'!$D$50:$H$50,0,MATCH(Model_Scenario_Base!$B$2,'Model Inputs'!$D$3:$H$3,0))</f>
        <v>0.25</v>
      </c>
      <c r="K31" s="109">
        <f>J31*SUM($K$19:$K$23,$K$30)</f>
        <v>13033078.500000002</v>
      </c>
      <c r="L31" s="110">
        <f>IFERROR(K31/$B$10,"n/a")</f>
        <v>95831.459558823539</v>
      </c>
      <c r="M31" s="347"/>
      <c r="O31" s="108" t="s">
        <v>275</v>
      </c>
      <c r="P31" s="88"/>
      <c r="Q31" s="97">
        <f>$K33</f>
        <v>0</v>
      </c>
      <c r="R31" s="88"/>
      <c r="S31" s="97">
        <f>$K33</f>
        <v>0</v>
      </c>
    </row>
    <row r="32" spans="1:19" x14ac:dyDescent="0.25">
      <c r="A32" s="117" t="s">
        <v>162</v>
      </c>
      <c r="B32" s="115"/>
      <c r="C32" s="122">
        <f>INDEX('Prototype Inputs'!$C$83:$G$84,MATCH(Model_Scenario_Base!$A32,'Prototype Inputs'!$B$83:$B$84,0),MATCH(Model_Scenario_Base!$B$2,'Prototype Inputs'!$C$72:$G$72,0))-C33</f>
        <v>18445</v>
      </c>
      <c r="D32" s="123">
        <f>INDEX('Model Inputs'!$D$20:$H$21,MATCH(Model_Scenario_Base!$A32,'Model Inputs'!$C$20:$C$21,0),MATCH(Model_Scenario_Base!$B$2,'Model Inputs'!$D$3:$H$3,0))</f>
        <v>40</v>
      </c>
      <c r="E32" s="115"/>
      <c r="F32" s="116">
        <f>(D32*C32)/12</f>
        <v>61483.333333333336</v>
      </c>
      <c r="G32" s="116">
        <f>F32*12</f>
        <v>737800</v>
      </c>
      <c r="I32" s="108" t="s">
        <v>180</v>
      </c>
      <c r="J32" s="120" cm="1">
        <f t="array" ref="J32">INDEX('Model Inputs'!$D$51:$H$51,0,MATCH(Model_Scenario_Base!$B$2,'Model Inputs'!$D$3:$H$3,0))</f>
        <v>0.1</v>
      </c>
      <c r="K32" s="109">
        <f>J32*SUM($K$19:$K$23,$K$30)</f>
        <v>5213231.4000000013</v>
      </c>
      <c r="L32" s="110">
        <f>IFERROR(K32/$B$10,"n/a")</f>
        <v>38332.583823529421</v>
      </c>
      <c r="M32" s="347"/>
      <c r="O32" s="108" t="s">
        <v>387</v>
      </c>
      <c r="P32" s="88"/>
      <c r="Q32" s="97">
        <f>$K34</f>
        <v>3882824.4140468752</v>
      </c>
      <c r="R32" s="88"/>
      <c r="S32" s="97">
        <f>$K34</f>
        <v>3882824.4140468752</v>
      </c>
    </row>
    <row r="33" spans="1:20" x14ac:dyDescent="0.25">
      <c r="A33" s="95" t="s">
        <v>388</v>
      </c>
      <c r="B33" s="115"/>
      <c r="C33" s="115"/>
      <c r="D33" s="123" cm="1">
        <f t="array" ref="D33">INDEX('Model Inputs'!$D$24:$H$24,0,MATCH(Model_Scenario_Base!$B$2,'Model Inputs'!$D$3:$H$3,0))</f>
        <v>20</v>
      </c>
      <c r="E33" s="115"/>
      <c r="F33" s="116">
        <f>(D33*C33)/12</f>
        <v>0</v>
      </c>
      <c r="G33" s="116">
        <f>F33*12</f>
        <v>0</v>
      </c>
      <c r="I33" s="108" t="s">
        <v>275</v>
      </c>
      <c r="J33" s="131"/>
      <c r="K33" s="109">
        <f>'Model Controls'!$H$35</f>
        <v>0</v>
      </c>
      <c r="L33" s="110">
        <f>IFERROR(K33/$B$10,"n/a")</f>
        <v>0</v>
      </c>
      <c r="M33" s="347"/>
      <c r="O33" s="356" t="s">
        <v>389</v>
      </c>
      <c r="P33" s="363"/>
      <c r="Q33" s="375">
        <f>SUM(Q18:Q32)</f>
        <v>81151198.31404689</v>
      </c>
      <c r="R33" s="363"/>
      <c r="S33" s="375">
        <f>SUM(S18:S32)</f>
        <v>72362698.314046875</v>
      </c>
      <c r="T33" s="183"/>
    </row>
    <row r="34" spans="1:20" x14ac:dyDescent="0.25">
      <c r="A34" s="83" t="s">
        <v>157</v>
      </c>
      <c r="B34" s="83"/>
      <c r="C34" s="125">
        <f>SUM(C31:C33)</f>
        <v>18445</v>
      </c>
      <c r="D34" s="126" t="s">
        <v>324</v>
      </c>
      <c r="E34" s="115"/>
      <c r="F34" s="127">
        <f>SUM(F31:F33)</f>
        <v>61483.333333333336</v>
      </c>
      <c r="G34" s="127">
        <f>SUM(G31:G33)</f>
        <v>737800</v>
      </c>
      <c r="I34" s="108" t="s">
        <v>387</v>
      </c>
      <c r="J34" s="124"/>
      <c r="K34" s="109">
        <f>SUM(Financing!C43:AX43)</f>
        <v>3882824.4140468752</v>
      </c>
      <c r="L34" s="110">
        <f>IFERROR(K34/$B$10,"n/a")</f>
        <v>28550.179515050553</v>
      </c>
      <c r="O34" s="117" t="s">
        <v>240</v>
      </c>
      <c r="Q34" s="183">
        <f>$K38</f>
        <v>9300000</v>
      </c>
      <c r="S34" s="183">
        <f>$K38</f>
        <v>9300000</v>
      </c>
    </row>
    <row r="35" spans="1:20" ht="14.4" thickBot="1" x14ac:dyDescent="0.3">
      <c r="I35" s="117" t="s">
        <v>390</v>
      </c>
      <c r="K35" s="109">
        <f>IF('Model Controls'!E4="Yes",-'IF_MFTE Calculations'!$C$85,0)</f>
        <v>0</v>
      </c>
      <c r="L35" s="110">
        <f t="shared" ref="L35:L36" si="6">IFERROR(K35/$B$10,"n/a")</f>
        <v>0</v>
      </c>
      <c r="O35" s="217" t="s">
        <v>391</v>
      </c>
      <c r="P35" s="376"/>
      <c r="Q35" s="376">
        <f t="shared" ref="Q35:S35" si="7">SUM(Q33:Q34)</f>
        <v>90451198.31404689</v>
      </c>
      <c r="R35" s="376"/>
      <c r="S35" s="376">
        <f t="shared" si="7"/>
        <v>81662698.314046875</v>
      </c>
    </row>
    <row r="36" spans="1:20" x14ac:dyDescent="0.25">
      <c r="A36" s="87" t="s">
        <v>156</v>
      </c>
      <c r="B36" s="134" t="s">
        <v>392</v>
      </c>
      <c r="C36" s="83" t="s">
        <v>367</v>
      </c>
      <c r="D36" s="83" t="s">
        <v>393</v>
      </c>
      <c r="E36" s="83" t="s">
        <v>369</v>
      </c>
      <c r="F36" s="87" t="s">
        <v>370</v>
      </c>
      <c r="G36" s="87" t="s">
        <v>371</v>
      </c>
      <c r="I36" s="117" t="s">
        <v>394</v>
      </c>
      <c r="K36" s="109">
        <f>IF('Model Controls'!E5="Yes",-INDEX('IF_MFTE Calculations'!$C$12:$G$12,MATCH(Model_Scenario_Base!$B$2,'IF_MFTE Calculations'!$C$4:$G$4,0)),0)</f>
        <v>0</v>
      </c>
      <c r="L36" s="110">
        <f t="shared" si="6"/>
        <v>0</v>
      </c>
      <c r="O36" s="83"/>
      <c r="P36" s="183"/>
      <c r="Q36" s="183"/>
      <c r="R36" s="183"/>
      <c r="S36" s="183"/>
    </row>
    <row r="37" spans="1:20" x14ac:dyDescent="0.25">
      <c r="A37" s="117" t="s">
        <v>166</v>
      </c>
      <c r="B37" s="103">
        <f>INDEX('Prototype Inputs'!$C$120:$G$123,MATCH($A37,'Prototype Inputs'!$B$120:$B$123,0),MATCH(Model_Scenario_Base!$B$2,'Prototype Inputs'!$C$72:$G$72,0))</f>
        <v>118</v>
      </c>
      <c r="C37" s="115"/>
      <c r="D37" s="115"/>
      <c r="I37" s="356" t="s">
        <v>389</v>
      </c>
      <c r="J37" s="357"/>
      <c r="K37" s="358">
        <f>SUM(K19:K36)</f>
        <v>76756948.31404689</v>
      </c>
      <c r="L37" s="359">
        <f>IFERROR(K37/$B$10,"n/a")</f>
        <v>564389.32583858003</v>
      </c>
      <c r="O37" s="83"/>
      <c r="P37" s="183"/>
      <c r="Q37" s="183"/>
      <c r="R37" s="183"/>
      <c r="S37" s="183"/>
    </row>
    <row r="38" spans="1:20" x14ac:dyDescent="0.25">
      <c r="A38" s="95" t="s">
        <v>338</v>
      </c>
      <c r="B38" s="103">
        <f>IFERROR(MROUND((INDEX('Prototype Inputs'!$C$124:$G$124,MATCH(Model_Scenario_Base!$B$2,'Prototype Inputs'!$C$72:$G$72,0))/INDEX('Prototype Inputs'!$C$119:$G$119,MATCH(Model_Scenario_Base!$B$2,'Prototype Inputs'!$C$72:$G$72,0)))*Model_Scenario_Base!B$37,1),"n/a")</f>
        <v>0</v>
      </c>
      <c r="C38" s="115"/>
      <c r="D38" s="115"/>
      <c r="E38" s="116">
        <f>INDEX('Model Inputs'!$D$27:$H$28,MATCH(Model_Scenario_Base!$A38,'Model Inputs'!$C$27:$C$28,0),MATCH(Model_Scenario_Base!$B$2,'Model Inputs'!$D$3:$H$3,0))</f>
        <v>50</v>
      </c>
      <c r="F38" s="96">
        <f>IFERROR(E38*B38,"n/a")</f>
        <v>0</v>
      </c>
      <c r="G38" s="96">
        <f>IFERROR(F38*12,"n/a")</f>
        <v>0</v>
      </c>
      <c r="I38" s="117" t="s">
        <v>240</v>
      </c>
      <c r="J38" s="109">
        <f>INDEX('Model Inputs'!$D$58:$H$58,MATCH($B$2,'Model Inputs'!$D$3:$H$3,0))</f>
        <v>150</v>
      </c>
      <c r="K38" s="183">
        <f>J38*B5</f>
        <v>9300000</v>
      </c>
      <c r="L38" s="110">
        <f>IFERROR(K38/B10,"n/a")</f>
        <v>68382.352941176476</v>
      </c>
    </row>
    <row r="39" spans="1:20" ht="14.4" thickBot="1" x14ac:dyDescent="0.3">
      <c r="A39" s="95" t="s">
        <v>327</v>
      </c>
      <c r="B39" s="103">
        <f>IFERROR(B37-B38,"n/a")</f>
        <v>118</v>
      </c>
      <c r="C39" s="115"/>
      <c r="D39" s="115"/>
      <c r="E39" s="116">
        <f>INDEX('Model Inputs'!$D$27:$H$28,MATCH(Model_Scenario_Base!$A39,'Model Inputs'!$C$27:$C$28,0),MATCH(Model_Scenario_Base!$B$2,'Model Inputs'!$D$3:$H$3,0))</f>
        <v>235</v>
      </c>
      <c r="F39" s="96">
        <f>IFERROR(E39*B39,"n/a")</f>
        <v>27730</v>
      </c>
      <c r="G39" s="96">
        <f>IFERROR(F39*12,"n/a")</f>
        <v>332760</v>
      </c>
      <c r="I39" s="217" t="s">
        <v>391</v>
      </c>
      <c r="J39" s="217"/>
      <c r="K39" s="361">
        <f>K38+K37</f>
        <v>86056948.31404689</v>
      </c>
      <c r="L39" s="362">
        <f>IFERROR(K39/$B$10,"n/a")</f>
        <v>632771.67877975653</v>
      </c>
      <c r="N39" s="377"/>
    </row>
    <row r="40" spans="1:20" x14ac:dyDescent="0.25">
      <c r="A40" s="117" t="s">
        <v>199</v>
      </c>
      <c r="B40" s="103">
        <f>INDEX('Prototype Inputs'!$C$120:$G$123,MATCH($A40,'Prototype Inputs'!$B$120:$B$123,0),MATCH(Model_Scenario_Base!$B$2,'Prototype Inputs'!$C$72:$G$72,0))</f>
        <v>18</v>
      </c>
      <c r="C40" s="115"/>
      <c r="D40" s="115"/>
      <c r="E40" s="115"/>
      <c r="F40" s="115"/>
      <c r="G40" s="115"/>
      <c r="I40" s="83"/>
      <c r="J40" s="83"/>
      <c r="K40" s="401"/>
      <c r="L40" s="351"/>
      <c r="N40" s="377"/>
    </row>
    <row r="41" spans="1:20" x14ac:dyDescent="0.25">
      <c r="A41" s="95" t="s">
        <v>160</v>
      </c>
      <c r="B41" s="103" t="str">
        <f>INDEX('Prototype Inputs'!$C$120:$G$123,MATCH($A41,'Prototype Inputs'!$B$120:$B$123,0),MATCH(Model_Scenario_Base!$B$2,'Prototype Inputs'!$C$72:$G$72,0))</f>
        <v>n/a</v>
      </c>
      <c r="C41" s="115"/>
      <c r="D41" s="115"/>
      <c r="E41" s="115"/>
      <c r="F41" s="115"/>
      <c r="G41" s="115"/>
      <c r="I41" s="83"/>
      <c r="J41" s="83"/>
      <c r="K41" s="541"/>
      <c r="L41" s="351"/>
      <c r="N41" s="377"/>
    </row>
    <row r="42" spans="1:20" x14ac:dyDescent="0.25">
      <c r="A42" s="402" t="s">
        <v>338</v>
      </c>
      <c r="B42" s="103" t="str">
        <f>IFERROR(MROUND((INDEX('Prototype Inputs'!$C$124:$G$124,MATCH(Model_Scenario_Base!$B$2,'Prototype Inputs'!$C$72:$G$72,0))/INDEX('Prototype Inputs'!$C$119:$G$119,MATCH(Model_Scenario_Base!$B$2,'Prototype Inputs'!$C$72:$G$72,0)))*Model_Scenario_Base!B$41,1),"n/a")</f>
        <v>n/a</v>
      </c>
      <c r="C42" s="115"/>
      <c r="D42" s="115"/>
      <c r="E42" s="96" t="str">
        <f>INDEX('Model Inputs'!$D$31:$H$32,MATCH(Model_Scenario_Base!$A42,'Model Inputs'!$C$31:$C$32,0),MATCH(Model_Scenario_Base!$B$2,'Model Inputs'!$D$3:$H$3,0))</f>
        <v>n/a</v>
      </c>
      <c r="F42" s="96" t="str">
        <f>IFERROR(E42*B42,"n/a")</f>
        <v>n/a</v>
      </c>
      <c r="G42" s="96" t="str">
        <f>IFERROR(F42*12,"n/a")</f>
        <v>n/a</v>
      </c>
      <c r="K42" s="191"/>
      <c r="N42" s="109"/>
    </row>
    <row r="43" spans="1:20" x14ac:dyDescent="0.25">
      <c r="A43" s="402" t="s">
        <v>327</v>
      </c>
      <c r="B43" s="103" t="str">
        <f>IFERROR(B41-B42,"n/a")</f>
        <v>n/a</v>
      </c>
      <c r="C43" s="115"/>
      <c r="D43" s="115"/>
      <c r="E43" s="96" t="str">
        <f>INDEX('Model Inputs'!$D$31:$H$32,MATCH(Model_Scenario_Base!$A43,'Model Inputs'!$C$31:$C$32,0),MATCH(Model_Scenario_Base!$B$2,'Model Inputs'!$D$3:$H$3,0))</f>
        <v>n/a</v>
      </c>
      <c r="F43" s="96" t="str">
        <f>IFERROR(E43*B43,"n/a")</f>
        <v>n/a</v>
      </c>
      <c r="G43" s="96" t="str">
        <f>IFERROR(F43*12,"n/a")</f>
        <v>n/a</v>
      </c>
      <c r="I43" s="83" t="s">
        <v>395</v>
      </c>
      <c r="N43" s="109"/>
    </row>
    <row r="44" spans="1:20" ht="14.4" thickBot="1" x14ac:dyDescent="0.3">
      <c r="A44" s="95" t="s">
        <v>162</v>
      </c>
      <c r="B44" s="103">
        <f>INDEX('Prototype Inputs'!$C$120:$G$123,MATCH($A44,'Prototype Inputs'!$B$120:$B$123,0),MATCH(Model_Scenario_Base!$B$2,'Prototype Inputs'!$C$72:$G$72,0))</f>
        <v>18</v>
      </c>
      <c r="C44" s="115"/>
      <c r="D44" s="115"/>
      <c r="E44" s="115"/>
      <c r="F44" s="115"/>
      <c r="G44" s="115"/>
      <c r="I44" s="83"/>
      <c r="N44" s="109"/>
    </row>
    <row r="45" spans="1:20" x14ac:dyDescent="0.25">
      <c r="A45" s="402" t="s">
        <v>338</v>
      </c>
      <c r="B45" s="103">
        <f>IFERROR(MROUND((INDEX('Prototype Inputs'!$C$124:$G$124,MATCH(Model_Scenario_Base!$B$2,'Prototype Inputs'!$C$72:$G$72,0))/INDEX('Prototype Inputs'!$C$119:$G$119,MATCH(Model_Scenario_Base!$B$2,'Prototype Inputs'!$C$72:$G$72,0)))*Model_Scenario_Base!B$44,1),"n/a")</f>
        <v>0</v>
      </c>
      <c r="C45" s="115"/>
      <c r="D45" s="115"/>
      <c r="E45" s="116">
        <f>INDEX('Model Inputs'!$D$34:$H$35,MATCH(Model_Scenario_Base!$A45,'Model Inputs'!$C$34:$C$35,0),MATCH(Model_Scenario_Base!$B$2,'Model Inputs'!$D$3:$H$3,0))</f>
        <v>0</v>
      </c>
      <c r="F45" s="116">
        <f>E45*B44</f>
        <v>0</v>
      </c>
      <c r="G45" s="116">
        <f>F45*12</f>
        <v>0</v>
      </c>
      <c r="I45" s="381" t="s">
        <v>396</v>
      </c>
      <c r="J45" s="378">
        <f>K45-0.0025</f>
        <v>4.4999999999999998E-2</v>
      </c>
      <c r="K45" s="379" cm="1">
        <f t="array" ref="K45">INDEX('Model Inputs'!$D$65:$H$65,0,MATCH(Model_Scenario_Base!$B$2,'Model Inputs'!$D$3:$H$3,0))</f>
        <v>4.7500000000000001E-2</v>
      </c>
      <c r="L45" s="380">
        <f>K45+0.0025</f>
        <v>0.05</v>
      </c>
      <c r="N45" s="109"/>
    </row>
    <row r="46" spans="1:20" x14ac:dyDescent="0.25">
      <c r="A46" s="402" t="s">
        <v>327</v>
      </c>
      <c r="B46" s="103">
        <f>IFERROR(B44-B45,"n/a")</f>
        <v>18</v>
      </c>
      <c r="C46" s="115"/>
      <c r="D46" s="115"/>
      <c r="E46" s="116">
        <f>INDEX('Model Inputs'!$D$34:$H$35,MATCH(Model_Scenario_Base!$A46,'Model Inputs'!$C$34:$C$35,0),MATCH(Model_Scenario_Base!$B$2,'Model Inputs'!$D$3:$H$3,0))</f>
        <v>0</v>
      </c>
      <c r="F46" s="116">
        <f>E46*B46</f>
        <v>0</v>
      </c>
      <c r="G46" s="116">
        <f>F46*12</f>
        <v>0</v>
      </c>
      <c r="I46" s="108" t="s">
        <v>397</v>
      </c>
      <c r="J46" s="109">
        <f>$K16/J45</f>
        <v>75934849.51111111</v>
      </c>
      <c r="K46" s="109">
        <f>$K16/K45</f>
        <v>71938278.484210521</v>
      </c>
      <c r="L46" s="109">
        <f>$K16/L45</f>
        <v>68341364.560000002</v>
      </c>
      <c r="N46" s="97"/>
    </row>
    <row r="47" spans="1:20" x14ac:dyDescent="0.25">
      <c r="A47" s="83" t="s">
        <v>157</v>
      </c>
      <c r="B47" s="125">
        <f>IFERROR(B37+B40,B40)</f>
        <v>136</v>
      </c>
      <c r="C47" s="115"/>
      <c r="D47" s="115"/>
      <c r="E47" s="115"/>
      <c r="F47" s="127">
        <f>SUM(F38:F46)</f>
        <v>27730</v>
      </c>
      <c r="G47" s="127">
        <f>SUM(G38:G46)</f>
        <v>332760</v>
      </c>
      <c r="I47" s="117" t="s">
        <v>398</v>
      </c>
      <c r="J47" s="109">
        <f>J46-$K37</f>
        <v>-822098.80293577909</v>
      </c>
      <c r="K47" s="109">
        <f>K46-$K37</f>
        <v>-4818669.8298363686</v>
      </c>
      <c r="L47" s="109">
        <f>L46-$K37</f>
        <v>-8415583.7540468872</v>
      </c>
    </row>
    <row r="48" spans="1:20" ht="14.4" thickBot="1" x14ac:dyDescent="0.3">
      <c r="I48" s="195" t="s">
        <v>259</v>
      </c>
      <c r="J48" s="382">
        <f>J47/$B5</f>
        <v>-13.259658111867404</v>
      </c>
      <c r="K48" s="382">
        <f>K47/$B5</f>
        <v>-77.72048112639304</v>
      </c>
      <c r="L48" s="382">
        <f>L47/$B5</f>
        <v>-135.73522183946594</v>
      </c>
    </row>
    <row r="49" spans="1:14" ht="14.4" thickBot="1" x14ac:dyDescent="0.3">
      <c r="A49" s="83" t="s">
        <v>360</v>
      </c>
      <c r="B49" s="132" t="s">
        <v>399</v>
      </c>
      <c r="C49" s="88"/>
      <c r="D49" s="88"/>
      <c r="E49" s="88"/>
      <c r="F49" s="88"/>
      <c r="G49" s="127">
        <f>SUM(G47,G34,G28)</f>
        <v>5254943.2</v>
      </c>
      <c r="N49" s="183"/>
    </row>
    <row r="50" spans="1:14" x14ac:dyDescent="0.25">
      <c r="A50" s="90"/>
      <c r="I50" s="139" t="s">
        <v>218</v>
      </c>
      <c r="J50" s="383"/>
      <c r="K50" s="383"/>
      <c r="L50" s="383"/>
      <c r="N50" s="183"/>
    </row>
    <row r="51" spans="1:14" x14ac:dyDescent="0.25">
      <c r="I51" s="1" t="s">
        <v>400</v>
      </c>
      <c r="J51" s="1"/>
      <c r="K51" s="1"/>
      <c r="L51" s="1"/>
      <c r="N51" s="183"/>
    </row>
    <row r="52" spans="1:14" x14ac:dyDescent="0.25">
      <c r="I52" s="78" t="s">
        <v>401</v>
      </c>
      <c r="J52" s="183">
        <f>K52+50</f>
        <v>200</v>
      </c>
      <c r="K52" s="109">
        <f>INDEX('Model Inputs'!$D$58:$H$58,MATCH($B$2,'Model Inputs'!$D$3:$H$3,0))</f>
        <v>150</v>
      </c>
      <c r="L52" s="183">
        <f>K52-50</f>
        <v>100</v>
      </c>
      <c r="N52" s="190"/>
    </row>
    <row r="53" spans="1:14" x14ac:dyDescent="0.25">
      <c r="I53" s="78" t="s">
        <v>240</v>
      </c>
      <c r="J53" s="183">
        <f>J52*$B5</f>
        <v>12400000</v>
      </c>
      <c r="K53" s="183">
        <f>K52*$B5</f>
        <v>9300000</v>
      </c>
      <c r="L53" s="183">
        <f>L52*$B5</f>
        <v>6200000</v>
      </c>
    </row>
    <row r="54" spans="1:14" x14ac:dyDescent="0.25">
      <c r="I54" s="78" t="s">
        <v>402</v>
      </c>
      <c r="J54" s="183">
        <f>J53+$K37</f>
        <v>89156948.31404689</v>
      </c>
      <c r="K54" s="183">
        <f>K53+$K37</f>
        <v>86056948.31404689</v>
      </c>
      <c r="L54" s="183">
        <f>L53+$K37</f>
        <v>82956948.31404689</v>
      </c>
      <c r="N54" s="183"/>
    </row>
    <row r="55" spans="1:14" x14ac:dyDescent="0.25">
      <c r="I55" s="386" t="s">
        <v>218</v>
      </c>
      <c r="J55" s="190">
        <f>$K16/J54</f>
        <v>3.832643773274632E-2</v>
      </c>
      <c r="K55" s="190">
        <f>$K16/K54</f>
        <v>3.9707057883694899E-2</v>
      </c>
      <c r="L55" s="190">
        <f>$K16/L54</f>
        <v>4.1190862217642552E-2</v>
      </c>
      <c r="N55" s="183"/>
    </row>
    <row r="56" spans="1:14" x14ac:dyDescent="0.25">
      <c r="I56" s="1" t="s">
        <v>177</v>
      </c>
      <c r="J56" s="1"/>
      <c r="K56" s="1"/>
      <c r="L56" s="1"/>
      <c r="N56" s="190"/>
    </row>
    <row r="57" spans="1:14" x14ac:dyDescent="0.25">
      <c r="I57" s="78" t="s">
        <v>177</v>
      </c>
      <c r="J57" s="183">
        <f>P18</f>
        <v>339.07000000000005</v>
      </c>
      <c r="K57" s="109" cm="1">
        <f t="array" ref="K57">INDEX('Model Inputs'!$D$47:$H$47,0,MATCH(Model_Scenario_Base!$B$2,'Model Inputs'!$D$3:$H$3,0))</f>
        <v>314.07000000000005</v>
      </c>
      <c r="L57" s="183">
        <f>R18</f>
        <v>289.07000000000005</v>
      </c>
    </row>
    <row r="58" spans="1:14" x14ac:dyDescent="0.25">
      <c r="I58" s="78" t="s">
        <v>402</v>
      </c>
      <c r="J58" s="183">
        <f>Q35</f>
        <v>90451198.31404689</v>
      </c>
      <c r="K58" s="183">
        <f>K39</f>
        <v>86056948.31404689</v>
      </c>
      <c r="L58" s="183">
        <f>S35</f>
        <v>81662698.314046875</v>
      </c>
    </row>
    <row r="59" spans="1:14" ht="14.4" thickBot="1" x14ac:dyDescent="0.3">
      <c r="I59" s="384" t="s">
        <v>218</v>
      </c>
      <c r="J59" s="385">
        <f>$K16/J58</f>
        <v>3.7778031598165528E-2</v>
      </c>
      <c r="K59" s="385">
        <f>$K16/K58</f>
        <v>3.9707057883694899E-2</v>
      </c>
      <c r="L59" s="385">
        <f>$K16/L58</f>
        <v>4.1843685042822383E-2</v>
      </c>
    </row>
    <row r="60" spans="1:14" x14ac:dyDescent="0.25">
      <c r="I60" s="95"/>
      <c r="J60" s="110"/>
      <c r="K60" s="109"/>
    </row>
    <row r="61" spans="1:14" x14ac:dyDescent="0.25">
      <c r="I61" s="108"/>
      <c r="J61" s="120"/>
      <c r="K61" s="109"/>
    </row>
    <row r="62" spans="1:14" x14ac:dyDescent="0.25">
      <c r="I62" s="108"/>
      <c r="J62" s="120"/>
      <c r="K62" s="109"/>
    </row>
    <row r="63" spans="1:14" x14ac:dyDescent="0.25">
      <c r="I63" s="108"/>
      <c r="J63" s="131"/>
      <c r="K63" s="109"/>
    </row>
    <row r="64" spans="1:14" x14ac:dyDescent="0.25">
      <c r="I64" s="108"/>
      <c r="J64" s="124"/>
      <c r="K64" s="10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8A3AC-1F90-4D23-B617-F9B9672ED9D0}">
  <sheetPr codeName="Sheet13">
    <tabColor theme="5"/>
  </sheetPr>
  <dimension ref="A1:S62"/>
  <sheetViews>
    <sheetView workbookViewId="0">
      <selection activeCell="F48" sqref="F48"/>
    </sheetView>
  </sheetViews>
  <sheetFormatPr defaultColWidth="8.69921875" defaultRowHeight="13.8" x14ac:dyDescent="0.25"/>
  <cols>
    <col min="1" max="1" width="31.19921875" style="78" customWidth="1"/>
    <col min="2" max="2" width="10.59765625" style="78" customWidth="1"/>
    <col min="3" max="3" width="18.69921875" style="78" customWidth="1"/>
    <col min="4" max="4" width="14.19921875" style="78" bestFit="1" customWidth="1"/>
    <col min="5" max="5" width="14.19921875" style="78" customWidth="1"/>
    <col min="6" max="6" width="14.5" style="78" customWidth="1"/>
    <col min="7" max="7" width="13.5" style="78" customWidth="1"/>
    <col min="8" max="8" width="8.69921875" style="78"/>
    <col min="9" max="9" width="46.59765625" style="78" customWidth="1"/>
    <col min="10" max="10" width="14.69921875" style="78" bestFit="1" customWidth="1"/>
    <col min="11" max="11" width="14.8984375" style="78" bestFit="1" customWidth="1"/>
    <col min="12" max="13" width="14.69921875" style="78" bestFit="1" customWidth="1"/>
    <col min="14" max="14" width="5.59765625" style="78" customWidth="1"/>
    <col min="15" max="15" width="36.5" style="78" bestFit="1" customWidth="1"/>
    <col min="16" max="16" width="8" style="78" bestFit="1" customWidth="1"/>
    <col min="17" max="17" width="14.09765625" style="78" bestFit="1" customWidth="1"/>
    <col min="18" max="18" width="8" style="78" bestFit="1" customWidth="1"/>
    <col min="19" max="19" width="14.09765625" style="78" bestFit="1" customWidth="1"/>
    <col min="20" max="16384" width="8.69921875" style="78"/>
  </cols>
  <sheetData>
    <row r="1" spans="1:16" x14ac:dyDescent="0.25">
      <c r="A1" s="87"/>
      <c r="B1" s="83"/>
      <c r="C1" s="87"/>
      <c r="D1" s="87"/>
      <c r="E1" s="88"/>
      <c r="F1" s="88"/>
      <c r="G1" s="88"/>
      <c r="H1" s="88"/>
      <c r="I1" s="87" t="s">
        <v>348</v>
      </c>
      <c r="J1" s="88"/>
      <c r="K1" s="88"/>
      <c r="L1" s="88"/>
      <c r="M1" s="88"/>
      <c r="N1" s="88"/>
      <c r="O1" s="88"/>
      <c r="P1" s="88"/>
    </row>
    <row r="2" spans="1:16" x14ac:dyDescent="0.25">
      <c r="A2" s="87" t="s">
        <v>211</v>
      </c>
      <c r="B2" s="89" t="str">
        <f>'Model Controls'!$E$2</f>
        <v>Mixed-Use Residential Mid-rise</v>
      </c>
      <c r="C2" s="88"/>
      <c r="D2" s="88"/>
      <c r="E2" s="88"/>
      <c r="F2" s="88"/>
      <c r="G2" s="88"/>
      <c r="H2" s="88"/>
      <c r="I2" s="90" t="s">
        <v>349</v>
      </c>
      <c r="J2" s="91" t="s">
        <v>350</v>
      </c>
      <c r="K2" s="91" t="s">
        <v>351</v>
      </c>
      <c r="L2" s="88"/>
      <c r="M2" s="88"/>
      <c r="N2" s="88"/>
      <c r="O2" s="88"/>
      <c r="P2" s="88"/>
    </row>
    <row r="3" spans="1:16" x14ac:dyDescent="0.25">
      <c r="A3" s="92"/>
      <c r="B3" s="93"/>
      <c r="C3" s="88"/>
      <c r="D3" s="88"/>
      <c r="E3" s="88"/>
      <c r="F3" s="88"/>
      <c r="G3" s="88"/>
      <c r="H3" s="88"/>
      <c r="I3" s="92" t="s">
        <v>352</v>
      </c>
      <c r="K3" s="94">
        <f>G21</f>
        <v>5098260</v>
      </c>
      <c r="L3" s="347"/>
      <c r="M3" s="88"/>
      <c r="N3" s="88"/>
      <c r="O3" s="88"/>
      <c r="P3" s="88"/>
    </row>
    <row r="4" spans="1:16" x14ac:dyDescent="0.25">
      <c r="A4" s="83" t="s">
        <v>353</v>
      </c>
      <c r="D4" s="88"/>
      <c r="E4" s="88"/>
      <c r="F4" s="88"/>
      <c r="G4" s="88"/>
      <c r="H4" s="88"/>
      <c r="I4" s="92" t="s">
        <v>354</v>
      </c>
      <c r="K4" s="94">
        <f>IFERROR(G27+G33,"n/a")</f>
        <v>1218396</v>
      </c>
      <c r="L4" s="347"/>
      <c r="M4" s="88"/>
      <c r="N4" s="88"/>
      <c r="O4" s="88"/>
      <c r="P4" s="88"/>
    </row>
    <row r="5" spans="1:16" x14ac:dyDescent="0.25">
      <c r="A5" s="87" t="s">
        <v>193</v>
      </c>
      <c r="B5" s="93" cm="1">
        <f t="array" ref="B5">INDEX('Prototype Inputs'!$C$140:$G$140,0,MATCH(Model_Scenario_Max!$B$2,'Prototype Inputs'!$C$136:$G$136,0))</f>
        <v>62000</v>
      </c>
      <c r="C5" s="88" t="str">
        <f>'Prototype Inputs'!H76</f>
        <v>square feet</v>
      </c>
      <c r="H5" s="88"/>
      <c r="I5" s="95" t="s">
        <v>355</v>
      </c>
      <c r="K5" s="96" t="str">
        <f>G37</f>
        <v>n/a</v>
      </c>
      <c r="L5" s="349"/>
      <c r="M5" s="88"/>
      <c r="N5" s="88"/>
      <c r="O5" s="88"/>
      <c r="P5" s="88"/>
    </row>
    <row r="6" spans="1:16" x14ac:dyDescent="0.25">
      <c r="A6" s="87" t="s">
        <v>356</v>
      </c>
      <c r="B6" s="93" cm="1">
        <f t="array" ref="B6">B5-(INDEX('Prototype Inputs'!$C$139:$G$139,0,MATCH($B$2,'Prototype Inputs'!$C$136:$G$136,0))*Model_Scenario_Max!$B$5)</f>
        <v>27900</v>
      </c>
      <c r="H6" s="88"/>
      <c r="I6" s="92" t="s">
        <v>357</v>
      </c>
      <c r="K6" s="97">
        <f>SUM(G38:G39)</f>
        <v>1159400</v>
      </c>
      <c r="L6" s="347"/>
      <c r="M6" s="88"/>
      <c r="N6" s="88"/>
      <c r="O6" s="88"/>
      <c r="P6" s="88"/>
    </row>
    <row r="7" spans="1:16" x14ac:dyDescent="0.25">
      <c r="A7" s="98" t="s">
        <v>182</v>
      </c>
      <c r="B7" s="99" cm="1">
        <f t="array" ref="B7">INDEX('Model Inputs'!$D$55:$H$55,0,MATCH(Model_Scenario_Max!$B$2,'Model Inputs'!$D$3:$H$3,0))</f>
        <v>1</v>
      </c>
      <c r="C7" s="78" t="s">
        <v>358</v>
      </c>
      <c r="H7" s="88"/>
      <c r="I7" s="92" t="s">
        <v>359</v>
      </c>
      <c r="K7" s="97">
        <f>G53</f>
        <v>524520</v>
      </c>
      <c r="L7" s="347"/>
      <c r="M7" s="88"/>
      <c r="N7" s="88"/>
      <c r="O7" s="88"/>
      <c r="P7" s="88"/>
    </row>
    <row r="8" spans="1:16" x14ac:dyDescent="0.25">
      <c r="A8" s="98" t="s">
        <v>106</v>
      </c>
      <c r="B8" s="352">
        <f>'Model Controls'!$K$42+'Model Controls'!$K$85</f>
        <v>0.1</v>
      </c>
      <c r="C8" s="78" t="s">
        <v>358</v>
      </c>
      <c r="H8" s="88"/>
      <c r="I8" s="92" t="s">
        <v>360</v>
      </c>
      <c r="K8" s="97">
        <f>SUM(K3:K7)</f>
        <v>8000576</v>
      </c>
      <c r="L8" s="347"/>
      <c r="M8" s="88"/>
      <c r="N8" s="88"/>
      <c r="O8" s="88"/>
      <c r="P8" s="88"/>
    </row>
    <row r="9" spans="1:16" x14ac:dyDescent="0.25">
      <c r="A9" s="87" t="s">
        <v>361</v>
      </c>
      <c r="B9" s="93" cm="1">
        <f t="array" ref="B9">INDEX('Prototype Inputs'!$C$141:$G$141,0,MATCH(Model_Scenario_Max!$B$2,'Prototype Inputs'!$C$136:$G$136,0))</f>
        <v>204600</v>
      </c>
      <c r="H9" s="88"/>
      <c r="I9" s="90" t="s">
        <v>362</v>
      </c>
      <c r="J9" s="100"/>
      <c r="K9" s="97"/>
      <c r="L9" s="88"/>
      <c r="M9" s="88"/>
      <c r="N9" s="88"/>
      <c r="O9" s="88"/>
      <c r="P9" s="88"/>
    </row>
    <row r="10" spans="1:16" x14ac:dyDescent="0.25">
      <c r="A10" s="87" t="s">
        <v>231</v>
      </c>
      <c r="B10" s="101" cm="1">
        <f t="array" ref="B10">INDEX('Prototype Inputs'!$C$162:$G$162,0,MATCH(Model_Scenario_Max!$B$2,'Prototype Inputs'!$C$136:$G$136,0))</f>
        <v>214</v>
      </c>
      <c r="H10" s="88"/>
      <c r="I10" s="92" t="s">
        <v>363</v>
      </c>
      <c r="J10" s="204" cm="1">
        <f t="array" ref="J10">INDEX('Model Inputs'!$D$38:$H$38,0,MATCH($B$2,'Model Inputs'!$D$3:$H$3,0))</f>
        <v>0.05</v>
      </c>
      <c r="K10" s="94">
        <f>IFERROR(-(SUM(K3:K4)*J10),"n/a")</f>
        <v>-315832.80000000005</v>
      </c>
      <c r="L10" s="347"/>
      <c r="M10" s="88"/>
      <c r="N10" s="88"/>
      <c r="O10" s="88"/>
      <c r="P10" s="88"/>
    </row>
    <row r="11" spans="1:16" x14ac:dyDescent="0.25">
      <c r="A11" s="87" t="s">
        <v>364</v>
      </c>
      <c r="B11" s="93" cm="1">
        <f t="array" ref="B11">INDEX('Prototype Inputs'!$C$183:$G$183,0,MATCH(Model_Scenario_Max!$B$2,'Prototype Inputs'!$C$136:$G$136,0))</f>
        <v>215</v>
      </c>
      <c r="C11" s="554"/>
      <c r="H11" s="88"/>
      <c r="I11" s="92" t="s">
        <v>160</v>
      </c>
      <c r="J11" s="204" t="str" cm="1">
        <f t="array" ref="J11">INDEX('Model Inputs'!$D$39:$H$39,0,MATCH($B$2,'Model Inputs'!$D$3:$H$3,0))</f>
        <v>n/a</v>
      </c>
      <c r="K11" s="94" t="str">
        <f>IFERROR(-(K5*J11),"n/a")</f>
        <v>n/a</v>
      </c>
      <c r="L11" s="349"/>
      <c r="M11" s="88"/>
      <c r="N11" s="88"/>
      <c r="O11" s="88"/>
      <c r="P11" s="88"/>
    </row>
    <row r="12" spans="1:16" x14ac:dyDescent="0.25">
      <c r="A12" s="117" t="s">
        <v>338</v>
      </c>
      <c r="B12" s="93" cm="1">
        <f t="array" ref="B12">INDEX('Prototype Inputs'!$C$188:$G$188,0,MATCH(Model_Scenario_Base!$B$2,'Prototype Inputs'!$C$136:$G$136,0))</f>
        <v>0</v>
      </c>
      <c r="H12" s="88"/>
      <c r="I12" s="92" t="s">
        <v>162</v>
      </c>
      <c r="J12" s="128" cm="1">
        <f t="array" ref="J12">INDEX('Model Inputs'!$D$40:$H$40,0,MATCH($B$2,'Model Inputs'!$D$3:$H$3,0))</f>
        <v>0.2</v>
      </c>
      <c r="K12" s="97">
        <f>-(K6*J12)</f>
        <v>-231880</v>
      </c>
      <c r="L12" s="347"/>
      <c r="M12" s="88"/>
      <c r="N12" s="88"/>
      <c r="O12" s="88"/>
      <c r="P12" s="88"/>
    </row>
    <row r="13" spans="1:16" x14ac:dyDescent="0.25">
      <c r="A13" s="117" t="s">
        <v>327</v>
      </c>
      <c r="B13" s="93" cm="1">
        <f t="array" ref="B13">INDEX('Prototype Inputs'!$C$189:$G$189,0,MATCH(Model_Scenario_Base!$B$2,'Prototype Inputs'!$C$136:$G$136,0))</f>
        <v>215</v>
      </c>
      <c r="H13" s="88"/>
      <c r="I13" s="95" t="s">
        <v>156</v>
      </c>
      <c r="J13" s="204" cm="1">
        <f t="array" ref="J13">IF(OR('Model Controls'!$E$2='Lookup Lists'!$B$5,'Model Controls'!$E$2='Lookup Lists'!$B$6),INDEX('Model Inputs'!$D$39:$H$39,0,MATCH($B$2,'Model Inputs'!$D$3:$H$3,0)),INDEX('Model Inputs'!$D$38:$H$38,0,MATCH($B$2,'Model Inputs'!$D$3:$H$3,0)))</f>
        <v>0.05</v>
      </c>
      <c r="K13" s="94">
        <f>IFERROR(-(K7*J13),"n/a")</f>
        <v>-26226</v>
      </c>
      <c r="M13" s="91"/>
      <c r="N13" s="87"/>
      <c r="O13" s="88"/>
      <c r="P13" s="88"/>
    </row>
    <row r="14" spans="1:16" x14ac:dyDescent="0.25">
      <c r="H14" s="88"/>
      <c r="I14" s="90" t="s">
        <v>365</v>
      </c>
      <c r="J14" s="109"/>
      <c r="K14" s="97">
        <f>SUM(K8:K13)</f>
        <v>7426637.2000000002</v>
      </c>
      <c r="L14" s="347"/>
      <c r="M14" s="88"/>
      <c r="N14" s="88"/>
      <c r="O14" s="88"/>
      <c r="P14" s="88"/>
    </row>
    <row r="15" spans="1:16" x14ac:dyDescent="0.25">
      <c r="A15" s="87" t="s">
        <v>366</v>
      </c>
      <c r="B15" s="91" t="s">
        <v>231</v>
      </c>
      <c r="C15" s="201" t="s">
        <v>367</v>
      </c>
      <c r="D15" s="91" t="s">
        <v>368</v>
      </c>
      <c r="E15" s="201" t="s">
        <v>369</v>
      </c>
      <c r="F15" s="201" t="s">
        <v>370</v>
      </c>
      <c r="G15" s="201" t="s">
        <v>371</v>
      </c>
      <c r="H15" s="88"/>
      <c r="I15" s="90" t="s">
        <v>372</v>
      </c>
      <c r="J15" s="128" cm="1">
        <f t="array" ref="J15">INDEX('Model Inputs'!$D$41:$H$41,0,MATCH(Model_Scenario_Max!$B$2,'Model Inputs'!$D$3:$H$3,0))</f>
        <v>0.3</v>
      </c>
      <c r="K15" s="97">
        <f>K14*J15</f>
        <v>2227991.16</v>
      </c>
      <c r="L15" s="347"/>
      <c r="M15" s="151"/>
      <c r="N15" s="88"/>
      <c r="O15" s="87" t="s">
        <v>403</v>
      </c>
      <c r="P15" s="88"/>
    </row>
    <row r="16" spans="1:16" ht="14.4" thickBot="1" x14ac:dyDescent="0.3">
      <c r="A16" s="64" t="s">
        <v>374</v>
      </c>
      <c r="B16" s="47"/>
      <c r="C16" s="47"/>
      <c r="D16" s="47"/>
      <c r="E16" s="47"/>
      <c r="F16" s="47"/>
      <c r="G16" s="47"/>
      <c r="H16" s="88"/>
      <c r="I16" s="90" t="s">
        <v>375</v>
      </c>
      <c r="J16" s="97"/>
      <c r="K16" s="106">
        <f>K14-K15</f>
        <v>5198646.04</v>
      </c>
      <c r="L16" s="347"/>
      <c r="M16" s="88"/>
      <c r="N16" s="88"/>
      <c r="P16" s="88"/>
    </row>
    <row r="17" spans="1:19" x14ac:dyDescent="0.25">
      <c r="A17" s="102" t="s">
        <v>146</v>
      </c>
      <c r="B17" s="103">
        <f>IFERROR(INDEX('Unit Mix'!$J$38:$N$41,MATCH(Model_Scenario_Max!$A17,'Unit Mix'!$I$38:$I$41,0),MATCH(Model_Scenario_Max!$B$2,'Unit Mix'!$C$36:$G$36,0)),"n/a")</f>
        <v>48</v>
      </c>
      <c r="C17" s="103">
        <f>INDEX('Prototype Inputs'!$C$173:$G$176,MATCH(Model_Scenario_Max!$A17,'Prototype Inputs'!$B$173:$B$176,0),MATCH(Model_Scenario_Max!$B$2,'Prototype Inputs'!$C$136:$G$136,0))</f>
        <v>550</v>
      </c>
      <c r="D17" s="104">
        <f>INDEX('Model Inputs'!$D$5:$H$8,MATCH($A17,'Model Inputs'!$C$5:$C$8,0),MATCH($B$2,'Model Inputs'!$D$3:$H$3,0))</f>
        <v>4.2</v>
      </c>
      <c r="E17" s="96">
        <f>IFERROR(D17*C17,"n/a")</f>
        <v>2310</v>
      </c>
      <c r="F17" s="96">
        <f>IFERROR(E17*B17,"n/a")</f>
        <v>110880</v>
      </c>
      <c r="G17" s="105">
        <f>IFERROR(F17*12,"n/a")</f>
        <v>1330560</v>
      </c>
      <c r="H17" s="88"/>
      <c r="I17" s="88"/>
      <c r="J17" s="88"/>
      <c r="K17" s="88"/>
      <c r="L17" s="88"/>
      <c r="M17" s="88"/>
      <c r="O17" s="374" t="s">
        <v>376</v>
      </c>
      <c r="P17" s="373" t="s">
        <v>350</v>
      </c>
      <c r="Q17" s="373" t="s">
        <v>157</v>
      </c>
      <c r="R17" s="373" t="s">
        <v>350</v>
      </c>
      <c r="S17" s="140" t="s">
        <v>157</v>
      </c>
    </row>
    <row r="18" spans="1:19" x14ac:dyDescent="0.25">
      <c r="A18" s="102" t="s">
        <v>148</v>
      </c>
      <c r="B18" s="103">
        <f>IFERROR(INDEX('Unit Mix'!$J$38:$N$41,MATCH(Model_Scenario_Max!$A18,'Unit Mix'!$I$38:$I$41,0),MATCH(Model_Scenario_Max!$B$2,'Unit Mix'!$C$36:$G$36,0)),"n/a")</f>
        <v>97</v>
      </c>
      <c r="C18" s="103">
        <f>INDEX('Prototype Inputs'!$C$173:$G$176,MATCH(Model_Scenario_Max!$A18,'Prototype Inputs'!$B$173:$B$176,0),MATCH(Model_Scenario_Max!$B$2,'Prototype Inputs'!$C$136:$G$136,0))</f>
        <v>700</v>
      </c>
      <c r="D18" s="104">
        <f>INDEX('Model Inputs'!$D$5:$H$8,MATCH($A18,'Model Inputs'!$C$5:$C$8,0),MATCH($B$2,'Model Inputs'!$D$3:$H$3,0))</f>
        <v>3.85</v>
      </c>
      <c r="E18" s="96">
        <f t="shared" ref="E18:E20" si="0">IFERROR(D18*C18,"n/a")</f>
        <v>2695</v>
      </c>
      <c r="F18" s="96">
        <f>IFERROR(E18*B18,"n/a")</f>
        <v>261415</v>
      </c>
      <c r="G18" s="105">
        <f>IFERROR(F18*12,"n/a")</f>
        <v>3136980</v>
      </c>
      <c r="H18" s="88"/>
      <c r="I18" s="107" t="s">
        <v>376</v>
      </c>
      <c r="J18" s="91" t="s">
        <v>350</v>
      </c>
      <c r="K18" s="91" t="s">
        <v>157</v>
      </c>
      <c r="L18" s="91" t="s">
        <v>377</v>
      </c>
      <c r="M18" s="350"/>
      <c r="O18" s="108" t="s">
        <v>177</v>
      </c>
      <c r="P18" s="97">
        <f>J19+25</f>
        <v>339.07000000000005</v>
      </c>
      <c r="Q18" s="109">
        <f>P18*$B9</f>
        <v>69373722.000000015</v>
      </c>
      <c r="R18" s="97">
        <f>J19-25</f>
        <v>289.07000000000005</v>
      </c>
      <c r="S18" s="109">
        <f>R18*$B9</f>
        <v>59143722.000000007</v>
      </c>
    </row>
    <row r="19" spans="1:19" x14ac:dyDescent="0.25">
      <c r="A19" s="102" t="s">
        <v>149</v>
      </c>
      <c r="B19" s="103">
        <f>IFERROR(INDEX('Unit Mix'!$J$38:$N$41,MATCH(Model_Scenario_Max!$A19,'Unit Mix'!$I$38:$I$41,0),MATCH(Model_Scenario_Max!$B$2,'Unit Mix'!$C$36:$G$36,0)),"n/a")</f>
        <v>16</v>
      </c>
      <c r="C19" s="103">
        <f>INDEX('Prototype Inputs'!$C$173:$G$176,MATCH(Model_Scenario_Max!$A19,'Prototype Inputs'!$B$173:$B$176,0),MATCH(Model_Scenario_Max!$B$2,'Prototype Inputs'!$C$136:$G$136,0))</f>
        <v>900</v>
      </c>
      <c r="D19" s="104">
        <f>INDEX('Model Inputs'!$D$5:$H$8,MATCH($A19,'Model Inputs'!$C$5:$C$8,0),MATCH($B$2,'Model Inputs'!$D$3:$H$3,0))</f>
        <v>3.65</v>
      </c>
      <c r="E19" s="96">
        <f t="shared" si="0"/>
        <v>3285</v>
      </c>
      <c r="F19" s="96">
        <f>IFERROR(E19*B19,"n/a")</f>
        <v>52560</v>
      </c>
      <c r="G19" s="105">
        <f>IFERROR(F19*12,"n/a")</f>
        <v>630720</v>
      </c>
      <c r="H19" s="88"/>
      <c r="I19" s="108" t="s">
        <v>177</v>
      </c>
      <c r="J19" s="109" cm="1">
        <f t="array" ref="J19">INDEX('Model Inputs'!$D$47:$H$47,0,MATCH(Model_Scenario_Max!$B$2,'Model Inputs'!$D$3:$H$3,0))</f>
        <v>314.07000000000005</v>
      </c>
      <c r="K19" s="109">
        <f>J19*B9</f>
        <v>64258722.000000007</v>
      </c>
      <c r="L19" s="110">
        <f>IFERROR(K19/$B$10,"n/a")</f>
        <v>300274.4018691589</v>
      </c>
      <c r="M19" s="350"/>
      <c r="O19" s="95" t="s">
        <v>378</v>
      </c>
      <c r="P19" s="348">
        <f>$J20</f>
        <v>0</v>
      </c>
      <c r="Q19" s="109">
        <f>Q18*P19</f>
        <v>0</v>
      </c>
      <c r="R19" s="348">
        <f>$J20</f>
        <v>0</v>
      </c>
      <c r="S19" s="109">
        <f>S18*R19</f>
        <v>0</v>
      </c>
    </row>
    <row r="20" spans="1:19" x14ac:dyDescent="0.25">
      <c r="A20" s="102" t="s">
        <v>150</v>
      </c>
      <c r="B20" s="103">
        <f>IFERROR(INDEX('Unit Mix'!$J$38:$N$41,MATCH(Model_Scenario_Max!$A20,'Unit Mix'!$I$38:$I$41,0),MATCH(Model_Scenario_Max!$B$2,'Unit Mix'!$C$36:$G$36,0)),"n/a")</f>
        <v>0</v>
      </c>
      <c r="C20" s="103">
        <f>INDEX('Prototype Inputs'!$C$173:$G$176,MATCH(Model_Scenario_Max!$A20,'Prototype Inputs'!$B$173:$B$176,0),MATCH(Model_Scenario_Max!$B$2,'Prototype Inputs'!$C$136:$G$136,0))</f>
        <v>1200</v>
      </c>
      <c r="D20" s="104">
        <f>INDEX('Model Inputs'!$D$5:$H$8,MATCH($A20,'Model Inputs'!$C$5:$C$8,0),MATCH($B$2,'Model Inputs'!$D$3:$H$3,0))</f>
        <v>3.45</v>
      </c>
      <c r="E20" s="96">
        <f t="shared" si="0"/>
        <v>4140</v>
      </c>
      <c r="F20" s="96">
        <f>IFERROR(E20*B20,"n/a")</f>
        <v>0</v>
      </c>
      <c r="G20" s="105">
        <f>IFERROR(F20*12,"n/a")</f>
        <v>0</v>
      </c>
      <c r="H20" s="88"/>
      <c r="I20" s="95" t="s">
        <v>378</v>
      </c>
      <c r="J20" s="128">
        <f>IF('Model Controls'!K75&gt;'Model Controls'!K47,'Model Controls'!K75,'Model Controls'!K47)</f>
        <v>0</v>
      </c>
      <c r="K20" s="109">
        <f>K19*J20</f>
        <v>0</v>
      </c>
      <c r="L20" s="110">
        <f t="shared" ref="L20:L22" si="1">IFERROR(K20/$B$10,"n/a")</f>
        <v>0</v>
      </c>
      <c r="M20" s="350"/>
      <c r="O20" s="108" t="s">
        <v>178</v>
      </c>
    </row>
    <row r="21" spans="1:19" x14ac:dyDescent="0.25">
      <c r="A21" s="107" t="s">
        <v>379</v>
      </c>
      <c r="B21" s="111">
        <f>IF(SUM(B17:B20)=0,"n/a",SUM(B17:B20))</f>
        <v>161</v>
      </c>
      <c r="C21" s="112">
        <f>IFERROR(SUMPRODUCT($B$17:$B$20,$C$17:$C$20)/SUM($B$17:$B$20),"n/a")</f>
        <v>675.15527950310559</v>
      </c>
      <c r="D21" s="113">
        <f>IFERROR(SUMPRODUCT($B$17:$B$20,$D$17:$D$20)/SUM($B$17:$B$20),"n/a")</f>
        <v>3.9344720496894405</v>
      </c>
      <c r="E21" s="114">
        <f>IFERROR(SUMPRODUCT($B$17:$B$20,$E$17:$E$20)/SUM($B$17:$B$20),"n/a")</f>
        <v>2638.8509316770187</v>
      </c>
      <c r="F21" s="114">
        <f>IF(SUM(F17:F20)=0,"n/a",SUM(F17:F20))</f>
        <v>424855</v>
      </c>
      <c r="G21" s="114">
        <f>IF(SUM(G17:G20)=0,"n/a",SUM(G17:G20))</f>
        <v>5098260</v>
      </c>
      <c r="H21" s="548"/>
      <c r="I21" s="108" t="s">
        <v>178</v>
      </c>
      <c r="L21" s="110"/>
      <c r="O21" s="95" t="s">
        <v>338</v>
      </c>
      <c r="P21" s="109">
        <f>$J22</f>
        <v>5000</v>
      </c>
      <c r="Q21" s="109">
        <f>P21*$B12</f>
        <v>0</v>
      </c>
      <c r="R21" s="109">
        <f>$J22</f>
        <v>5000</v>
      </c>
      <c r="S21" s="109">
        <f>R21*$B12</f>
        <v>0</v>
      </c>
    </row>
    <row r="22" spans="1:19" x14ac:dyDescent="0.25">
      <c r="A22" s="64" t="s">
        <v>404</v>
      </c>
      <c r="B22" s="47"/>
      <c r="C22" s="47"/>
      <c r="D22" s="47"/>
      <c r="E22" s="47"/>
      <c r="F22" s="47"/>
      <c r="G22" s="47"/>
      <c r="H22" s="88"/>
      <c r="I22" s="95" t="s">
        <v>338</v>
      </c>
      <c r="J22" s="121" cm="1">
        <f t="array" ref="J22">INDEX('Model Inputs'!$D$48:$H$48,0,MATCH(Model_Scenario_Max!$B$2,'Model Inputs'!$D$3:$H$3,0))</f>
        <v>5000</v>
      </c>
      <c r="K22" s="109">
        <f>J22*B12</f>
        <v>0</v>
      </c>
      <c r="L22" s="110">
        <f t="shared" si="1"/>
        <v>0</v>
      </c>
      <c r="O22" s="95" t="s">
        <v>327</v>
      </c>
      <c r="P22" s="109">
        <f>$J23</f>
        <v>82650</v>
      </c>
      <c r="Q22" s="109">
        <f>P22*$B13</f>
        <v>17769750</v>
      </c>
      <c r="R22" s="109">
        <f>$J23</f>
        <v>82650</v>
      </c>
      <c r="S22" s="109">
        <f>R22*$B11</f>
        <v>17769750</v>
      </c>
    </row>
    <row r="23" spans="1:19" x14ac:dyDescent="0.25">
      <c r="A23" s="102" t="s">
        <v>146</v>
      </c>
      <c r="B23" s="103">
        <f>IFERROR(INDEX('Unit Mix'!$J$45:$N$48,MATCH(Model_Scenario_Max!$A23,'Unit Mix'!$I$45:$I$48,0),MATCH(Model_Scenario_Max!$B$2,'Unit Mix'!$C$36:$G$36,0)),"n/a")</f>
        <v>6</v>
      </c>
      <c r="C23" s="103">
        <f>INDEX('Prototype Inputs'!$C$173:$G$176,MATCH(Model_Scenario_Max!$A23,'Prototype Inputs'!$B$173:$B$176,0),MATCH(Model_Scenario_Max!$B$2,'Prototype Inputs'!$C$136:$G$136,0))</f>
        <v>550</v>
      </c>
      <c r="D23" s="115"/>
      <c r="E23" s="96">
        <f>INDEX('Model Inputs'!$D$10:$H$13,MATCH($A23,'Model Inputs'!$C$10:$C$13,0),MATCH($B$2,'Model Inputs'!$D$3:$H$3,0))</f>
        <v>1795.6</v>
      </c>
      <c r="F23" s="96">
        <f>IFERROR(E23*B23,"n/a")</f>
        <v>10773.599999999999</v>
      </c>
      <c r="G23" s="105">
        <f>IFERROR(F23*12,"n/a")</f>
        <v>129283.19999999998</v>
      </c>
      <c r="H23" s="88"/>
      <c r="I23" s="95" t="s">
        <v>327</v>
      </c>
      <c r="J23" s="121" cm="1">
        <f t="array" ref="J23">INDEX('Model Inputs'!$D$49:$H$49,0,MATCH(Model_Scenario_Max!$B$2,'Model Inputs'!$D$3:$H$3,0))</f>
        <v>82650</v>
      </c>
      <c r="K23" s="109">
        <f>J23*B13</f>
        <v>17769750</v>
      </c>
      <c r="L23" s="110">
        <f>IFERROR(K23/$B$10,"n/a")</f>
        <v>83036.214953271032</v>
      </c>
      <c r="M23" s="350"/>
      <c r="O23" s="108" t="s">
        <v>381</v>
      </c>
      <c r="P23" s="88"/>
      <c r="Q23" s="88"/>
    </row>
    <row r="24" spans="1:19" x14ac:dyDescent="0.25">
      <c r="A24" s="102" t="s">
        <v>148</v>
      </c>
      <c r="B24" s="103">
        <f>IFERROR(INDEX('Unit Mix'!$J$45:$N$48,MATCH(Model_Scenario_Max!$A24,'Unit Mix'!$I$45:$I$48,0),MATCH(Model_Scenario_Max!$B$2,'Unit Mix'!$C$36:$G$36,0)),"n/a")</f>
        <v>13</v>
      </c>
      <c r="C24" s="103">
        <f>INDEX('Prototype Inputs'!$C$173:$G$176,MATCH(Model_Scenario_Max!$A24,'Prototype Inputs'!$B$173:$B$176,0),MATCH(Model_Scenario_Max!$B$2,'Prototype Inputs'!$C$136:$G$136,0))</f>
        <v>700</v>
      </c>
      <c r="D24" s="115"/>
      <c r="E24" s="96">
        <f>INDEX('Model Inputs'!$D$10:$H$13,MATCH($A24,'Model Inputs'!$C$10:$C$13,0),MATCH($B$2,'Model Inputs'!$D$3:$H$3,0))</f>
        <v>1911</v>
      </c>
      <c r="F24" s="96">
        <f t="shared" ref="F24:F26" si="2">IFERROR(E24*B24,"n/a")</f>
        <v>24843</v>
      </c>
      <c r="G24" s="105">
        <f t="shared" ref="G24:G26" si="3">IFERROR(F24*12,"n/a")</f>
        <v>298116</v>
      </c>
      <c r="H24" s="88"/>
      <c r="I24" s="108" t="s">
        <v>381</v>
      </c>
      <c r="J24" s="109"/>
      <c r="K24" s="109"/>
      <c r="L24" s="109"/>
      <c r="M24" s="350"/>
      <c r="O24" s="98" t="s">
        <v>182</v>
      </c>
      <c r="P24" s="97">
        <f>$J25</f>
        <v>10</v>
      </c>
      <c r="Q24" s="109">
        <f>P24*($B7*$B$5)</f>
        <v>620000</v>
      </c>
      <c r="R24" s="97">
        <f>$J25</f>
        <v>10</v>
      </c>
      <c r="S24" s="109">
        <f>R24*($B7*$B$5)</f>
        <v>620000</v>
      </c>
    </row>
    <row r="25" spans="1:19" x14ac:dyDescent="0.25">
      <c r="A25" s="102" t="s">
        <v>149</v>
      </c>
      <c r="B25" s="103">
        <f>IFERROR(INDEX('Unit Mix'!$J$45:$N$48,MATCH(Model_Scenario_Max!$A25,'Unit Mix'!$I$45:$I$48,0),MATCH(Model_Scenario_Max!$B$2,'Unit Mix'!$C$36:$G$36,0)),"n/a")</f>
        <v>2</v>
      </c>
      <c r="C25" s="103">
        <f>INDEX('Prototype Inputs'!$C$173:$G$176,MATCH(Model_Scenario_Max!$A25,'Prototype Inputs'!$B$173:$B$176,0),MATCH(Model_Scenario_Max!$B$2,'Prototype Inputs'!$C$136:$G$136,0))</f>
        <v>900</v>
      </c>
      <c r="D25" s="115"/>
      <c r="E25" s="96">
        <f>INDEX('Model Inputs'!$D$10:$H$13,MATCH($A25,'Model Inputs'!$C$10:$C$13,0),MATCH($B$2,'Model Inputs'!$D$3:$H$3,0))</f>
        <v>2307.1999999999998</v>
      </c>
      <c r="F25" s="96">
        <f t="shared" si="2"/>
        <v>4614.3999999999996</v>
      </c>
      <c r="G25" s="105">
        <f t="shared" si="3"/>
        <v>55372.799999999996</v>
      </c>
      <c r="H25" s="88"/>
      <c r="I25" s="98" t="s">
        <v>182</v>
      </c>
      <c r="J25" s="109" cm="1">
        <f t="array" ref="J25">INDEX('Model Inputs'!$D$56:$H$56,0,MATCH(Model_Scenario_Max!$B$2,'Model Inputs'!$D$3:$H$3,0))</f>
        <v>10</v>
      </c>
      <c r="K25" s="109">
        <f>J25*(B7*$B$5)</f>
        <v>620000</v>
      </c>
      <c r="L25" s="110">
        <f>IFERROR(K25/$B$10,"n/a")</f>
        <v>2897.1962616822429</v>
      </c>
      <c r="M25" s="350"/>
      <c r="O25" s="98" t="s">
        <v>106</v>
      </c>
      <c r="P25" s="97">
        <f>$J26</f>
        <v>5</v>
      </c>
      <c r="Q25" s="109">
        <f>P25*($B8*$B$5)</f>
        <v>31000</v>
      </c>
      <c r="R25" s="97">
        <f>$J26</f>
        <v>5</v>
      </c>
      <c r="S25" s="109">
        <f>R25*($B8*$B$5)</f>
        <v>31000</v>
      </c>
    </row>
    <row r="26" spans="1:19" x14ac:dyDescent="0.25">
      <c r="A26" s="102" t="s">
        <v>150</v>
      </c>
      <c r="B26" s="103">
        <f>IFERROR(INDEX('Unit Mix'!$J$45:$N$48,MATCH(Model_Scenario_Max!$A26,'Unit Mix'!$I$45:$I$48,0),MATCH(Model_Scenario_Max!$B$2,'Unit Mix'!$C$36:$G$36,0)),"n/a")</f>
        <v>0</v>
      </c>
      <c r="C26" s="103">
        <f>INDEX('Prototype Inputs'!$C$173:$G$176,MATCH(Model_Scenario_Max!$A26,'Prototype Inputs'!$B$173:$B$176,0),MATCH(Model_Scenario_Max!$B$2,'Prototype Inputs'!$C$136:$G$136,0))</f>
        <v>1200</v>
      </c>
      <c r="D26" s="115"/>
      <c r="E26" s="96">
        <f>INDEX('Model Inputs'!$D$10:$H$13,MATCH($A26,'Model Inputs'!$C$10:$C$13,0),MATCH($B$2,'Model Inputs'!$D$3:$H$3,0))</f>
        <v>2663.9199999999996</v>
      </c>
      <c r="F26" s="96">
        <f t="shared" si="2"/>
        <v>0</v>
      </c>
      <c r="G26" s="105">
        <f t="shared" si="3"/>
        <v>0</v>
      </c>
      <c r="H26" s="88"/>
      <c r="I26" s="98" t="s">
        <v>106</v>
      </c>
      <c r="J26" s="109" cm="1">
        <f t="array" ref="J26">INDEX('Model Inputs'!$D$57:$H$57,0,MATCH(Model_Scenario_Max!$B$2,'Model Inputs'!$D$3:$H$3,0))</f>
        <v>5</v>
      </c>
      <c r="K26" s="109">
        <f>J26*(B8*$B$5)</f>
        <v>31000</v>
      </c>
      <c r="L26" s="110">
        <f>IFERROR(K26/$B$10,"n/a")</f>
        <v>144.85981308411215</v>
      </c>
      <c r="M26" s="350"/>
      <c r="O26" s="117" t="s">
        <v>181</v>
      </c>
      <c r="P26" s="88"/>
      <c r="Q26" s="88"/>
      <c r="R26" s="88"/>
    </row>
    <row r="27" spans="1:19" x14ac:dyDescent="0.25">
      <c r="A27" s="107" t="s">
        <v>382</v>
      </c>
      <c r="B27" s="111">
        <f>IF(SUM(B23:B26)=0,"n/a",SUM(B23:B26))</f>
        <v>21</v>
      </c>
      <c r="C27" s="112">
        <f>IFERROR(SUMPRODUCT($B$17:$B$20,$C$17:$C$20)/SUM($B$17:$B$20),"n/a")</f>
        <v>675.15527950310559</v>
      </c>
      <c r="D27" s="115"/>
      <c r="E27" s="118">
        <f>IFERROR(SUMPRODUCT($B$23:$B$26,$E$23:$E$26)/SUM($B$23:$B$26),"n/a")</f>
        <v>1915.7619047619048</v>
      </c>
      <c r="F27" s="114">
        <f>IF(SUM(F23:F26)=0,"n/a",SUM(F23:F26))</f>
        <v>40231</v>
      </c>
      <c r="G27" s="114">
        <f>IF(SUM(G23:G26)=0,"n/a",SUM(G23:G26))</f>
        <v>482771.99999999994</v>
      </c>
      <c r="H27" s="88"/>
      <c r="I27" s="117" t="s">
        <v>181</v>
      </c>
      <c r="M27" s="350"/>
      <c r="O27" s="95" t="s">
        <v>162</v>
      </c>
      <c r="P27" s="109">
        <f>$J28</f>
        <v>100</v>
      </c>
      <c r="Q27" s="109">
        <f>P27*SUM($C$38:$C$39)</f>
        <v>2898500</v>
      </c>
      <c r="R27" s="109">
        <f>$J28</f>
        <v>100</v>
      </c>
      <c r="S27" s="109">
        <f>R27*SUM($C$38:$C$39)</f>
        <v>2898500</v>
      </c>
    </row>
    <row r="28" spans="1:19" x14ac:dyDescent="0.25">
      <c r="A28" s="64" t="s">
        <v>405</v>
      </c>
      <c r="B28" s="47"/>
      <c r="C28" s="47"/>
      <c r="D28" s="47"/>
      <c r="E28" s="47"/>
      <c r="F28" s="47"/>
      <c r="G28" s="47"/>
      <c r="H28" s="88"/>
      <c r="I28" s="95" t="s">
        <v>162</v>
      </c>
      <c r="J28" s="109" cm="1">
        <f t="array" ref="J28">INDEX('Model Inputs'!$D$54:$H$54,0,MATCH(Model_Scenario_Max!$B$2,'Model Inputs'!$D$3:$H$3,0))</f>
        <v>100</v>
      </c>
      <c r="K28" s="109">
        <f>J28*SUM(C38:C39)</f>
        <v>2898500</v>
      </c>
      <c r="L28" s="110">
        <f>IFERROR(K28/$B$10,"n/a")</f>
        <v>13544.392523364486</v>
      </c>
      <c r="M28" s="350"/>
      <c r="O28" s="95" t="s">
        <v>160</v>
      </c>
      <c r="P28" s="110" t="str">
        <f>$J29</f>
        <v>n/a</v>
      </c>
      <c r="Q28" s="109">
        <f>IFERROR(P28*$C$37,0)</f>
        <v>0</v>
      </c>
      <c r="R28" s="110" t="str">
        <f>$J29</f>
        <v>n/a</v>
      </c>
      <c r="S28" s="109">
        <f>IFERROR(R28*$C$37,0)</f>
        <v>0</v>
      </c>
    </row>
    <row r="29" spans="1:19" x14ac:dyDescent="0.25">
      <c r="A29" s="102" t="s">
        <v>146</v>
      </c>
      <c r="B29" s="103">
        <f>IFERROR(INDEX('Unit Mix'!$J$52:$N$55,MATCH(Model_Scenario_Max!$A29,'Unit Mix'!$I$52:$I$55,0),MATCH(Model_Scenario_Max!$B$2,'Unit Mix'!$C$36:$G$36,0)),"n/a")</f>
        <v>9</v>
      </c>
      <c r="C29" s="103">
        <f>INDEX('Prototype Inputs'!$C$173:$G$176,MATCH(Model_Scenario_Max!$A29,'Prototype Inputs'!$B$173:$B$176,0),MATCH(Model_Scenario_Max!$B$2,'Prototype Inputs'!$C$136:$G$136,0))</f>
        <v>550</v>
      </c>
      <c r="D29" s="115"/>
      <c r="E29" s="96">
        <f>INDEX('Model Inputs'!$D$15:$H$18,MATCH($A29,'Model Inputs'!$C$15:$C$18,0),MATCH($B$2,'Model Inputs'!$D$3:$H$3,0))</f>
        <v>1795.6</v>
      </c>
      <c r="F29" s="96">
        <f>IFERROR(E29*B29,"n/a")</f>
        <v>16160.4</v>
      </c>
      <c r="G29" s="105">
        <f>IFERROR(F29*12,"n/a")</f>
        <v>193924.8</v>
      </c>
      <c r="H29" s="88"/>
      <c r="I29" s="95" t="s">
        <v>160</v>
      </c>
      <c r="J29" s="110" t="str" cm="1">
        <f t="array" ref="J29">INDEX('Model Inputs'!$D$53:$H$53,0,MATCH(Model_Scenario_Max!$B$2,'Model Inputs'!$D$3:$H$3,0))</f>
        <v>n/a</v>
      </c>
      <c r="K29" s="109">
        <f>IFERROR(J29*C37,0)</f>
        <v>0</v>
      </c>
      <c r="L29" s="110">
        <f>IFERROR(K29/$B$10,"n/a")</f>
        <v>0</v>
      </c>
      <c r="M29" s="350"/>
      <c r="O29" s="108" t="s">
        <v>179</v>
      </c>
      <c r="P29" s="120">
        <f>$J31</f>
        <v>0.25</v>
      </c>
      <c r="Q29" s="109">
        <f>P29*SUM(Q$18:Q$22)</f>
        <v>21785868.000000004</v>
      </c>
      <c r="R29" s="120">
        <f>$J31</f>
        <v>0.25</v>
      </c>
      <c r="S29" s="109">
        <f>R29*SUM(S$18:S$22)</f>
        <v>19228368</v>
      </c>
    </row>
    <row r="30" spans="1:19" x14ac:dyDescent="0.25">
      <c r="A30" s="102" t="s">
        <v>148</v>
      </c>
      <c r="B30" s="103">
        <f>IFERROR(INDEX('Unit Mix'!$J$52:$N$55,MATCH(Model_Scenario_Max!$A30,'Unit Mix'!$I$52:$I$55,0),MATCH(Model_Scenario_Max!$B$2,'Unit Mix'!$C$36:$G$36,0)),"n/a")</f>
        <v>20</v>
      </c>
      <c r="C30" s="103">
        <f>INDEX('Prototype Inputs'!$C$173:$G$176,MATCH(Model_Scenario_Max!$A30,'Prototype Inputs'!$B$173:$B$176,0),MATCH(Model_Scenario_Max!$B$2,'Prototype Inputs'!$C$136:$G$136,0))</f>
        <v>700</v>
      </c>
      <c r="D30" s="115"/>
      <c r="E30" s="96">
        <f>INDEX('Model Inputs'!$D$15:$H$18,MATCH($A30,'Model Inputs'!$C$15:$C$18,0),MATCH($B$2,'Model Inputs'!$D$3:$H$3,0))</f>
        <v>1911</v>
      </c>
      <c r="F30" s="96">
        <f t="shared" ref="F30:F32" si="4">IFERROR(E30*B30,"n/a")</f>
        <v>38220</v>
      </c>
      <c r="G30" s="105">
        <f t="shared" ref="G30:G32" si="5">IFERROR(F30*12,"n/a")</f>
        <v>458640</v>
      </c>
      <c r="H30" s="88"/>
      <c r="I30" s="117" t="s">
        <v>386</v>
      </c>
      <c r="K30" s="183">
        <f>'Site Calcs'!$C$21</f>
        <v>0</v>
      </c>
      <c r="L30" s="110">
        <f t="shared" ref="L30" si="6">IFERROR(K30/$B$10,"n/a")</f>
        <v>0</v>
      </c>
      <c r="M30" s="350"/>
      <c r="O30" s="108" t="s">
        <v>180</v>
      </c>
      <c r="P30" s="120">
        <f>$J32</f>
        <v>0.1</v>
      </c>
      <c r="Q30" s="109">
        <f>P30*SUM(Q$18:Q$22)</f>
        <v>8714347.2000000011</v>
      </c>
      <c r="R30" s="120">
        <f>$J32</f>
        <v>0.1</v>
      </c>
      <c r="S30" s="109">
        <f>R30*SUM(S$18:S$22)</f>
        <v>7691347.2000000002</v>
      </c>
    </row>
    <row r="31" spans="1:19" x14ac:dyDescent="0.25">
      <c r="A31" s="102" t="s">
        <v>149</v>
      </c>
      <c r="B31" s="103">
        <f>IFERROR(INDEX('Unit Mix'!$J$52:$N$55,MATCH(Model_Scenario_Max!$A31,'Unit Mix'!$I$52:$I$55,0),MATCH(Model_Scenario_Max!$B$2,'Unit Mix'!$C$36:$G$36,0)),"n/a")</f>
        <v>3</v>
      </c>
      <c r="C31" s="103">
        <f>INDEX('Prototype Inputs'!$C$173:$G$176,MATCH(Model_Scenario_Max!$A31,'Prototype Inputs'!$B$173:$B$176,0),MATCH(Model_Scenario_Max!$B$2,'Prototype Inputs'!$C$136:$G$136,0))</f>
        <v>900</v>
      </c>
      <c r="D31" s="115"/>
      <c r="E31" s="96">
        <f>INDEX('Model Inputs'!$D$15:$H$18,MATCH($A31,'Model Inputs'!$C$15:$C$18,0),MATCH($B$2,'Model Inputs'!$D$3:$H$3,0))</f>
        <v>2307.1999999999998</v>
      </c>
      <c r="F31" s="96">
        <f t="shared" si="4"/>
        <v>6921.5999999999995</v>
      </c>
      <c r="G31" s="105">
        <f t="shared" si="5"/>
        <v>83059.199999999997</v>
      </c>
      <c r="I31" s="108" t="s">
        <v>179</v>
      </c>
      <c r="J31" s="120" cm="1">
        <f t="array" ref="J31">INDEX('Model Inputs'!$D$50:$H$50,0,MATCH(Model_Scenario_Max!$B$2,'Model Inputs'!$D$3:$H$3,0))</f>
        <v>0.25</v>
      </c>
      <c r="K31" s="109">
        <f>J31*SUM($K$19:$K$23,$K$30,$K$34:$K$36)</f>
        <v>20507118</v>
      </c>
      <c r="L31" s="110">
        <f>IFERROR(K31/$B$10,"n/a")</f>
        <v>95827.654205607483</v>
      </c>
      <c r="M31" s="350"/>
      <c r="O31" s="108" t="s">
        <v>275</v>
      </c>
      <c r="P31" s="88"/>
      <c r="Q31" s="97">
        <f>$K33</f>
        <v>0</v>
      </c>
      <c r="R31" s="88"/>
      <c r="S31" s="97">
        <f>$K33</f>
        <v>0</v>
      </c>
    </row>
    <row r="32" spans="1:19" x14ac:dyDescent="0.25">
      <c r="A32" s="102" t="s">
        <v>150</v>
      </c>
      <c r="B32" s="103">
        <f>IFERROR(INDEX('Unit Mix'!$J$52:$N$55,MATCH(Model_Scenario_Max!$A32,'Unit Mix'!$I$52:$I$55,0),MATCH(Model_Scenario_Max!$B$2,'Unit Mix'!$C$36:$G$36,0)),"n/a")</f>
        <v>0</v>
      </c>
      <c r="C32" s="103">
        <f>INDEX('Prototype Inputs'!$C$173:$G$176,MATCH(Model_Scenario_Max!$A32,'Prototype Inputs'!$B$173:$B$176,0),MATCH(Model_Scenario_Max!$B$2,'Prototype Inputs'!$C$136:$G$136,0))</f>
        <v>1200</v>
      </c>
      <c r="D32" s="115"/>
      <c r="E32" s="96">
        <f>INDEX('Model Inputs'!$D$15:$H$18,MATCH($A32,'Model Inputs'!$C$15:$C$18,0),MATCH($B$2,'Model Inputs'!$D$3:$H$3,0))</f>
        <v>2663.9199999999996</v>
      </c>
      <c r="F32" s="96">
        <f t="shared" si="4"/>
        <v>0</v>
      </c>
      <c r="G32" s="105">
        <f t="shared" si="5"/>
        <v>0</v>
      </c>
      <c r="I32" s="108" t="s">
        <v>180</v>
      </c>
      <c r="J32" s="120" cm="1">
        <f t="array" ref="J32">INDEX('Model Inputs'!$D$51:$H$51,0,MATCH(Model_Scenario_Max!$B$2,'Model Inputs'!$D$3:$H$3,0))</f>
        <v>0.1</v>
      </c>
      <c r="K32" s="109">
        <f>J32*SUM($K$19:$K$23,$K$30,$K$34:$K$36)</f>
        <v>8202847.2000000002</v>
      </c>
      <c r="L32" s="110">
        <f>IFERROR(K32/$B$10,"n/a")</f>
        <v>38331.061682242995</v>
      </c>
      <c r="M32" s="350"/>
      <c r="O32" s="108" t="s">
        <v>387</v>
      </c>
      <c r="P32" s="88"/>
      <c r="Q32" s="97">
        <f>$K37</f>
        <v>6089404.1539375028</v>
      </c>
      <c r="R32" s="88"/>
      <c r="S32" s="97">
        <f>$K37</f>
        <v>6089404.1539375028</v>
      </c>
    </row>
    <row r="33" spans="1:19" x14ac:dyDescent="0.25">
      <c r="A33" s="107" t="s">
        <v>382</v>
      </c>
      <c r="B33" s="111">
        <f>IF(SUM(B29:B32)=0,"n/a",SUM(B29:B32))</f>
        <v>32</v>
      </c>
      <c r="C33" s="112">
        <f>IFERROR(SUMPRODUCT($B$17:$B$20,$C$17:$C$20)/SUM($B$17:$B$20),"n/a")</f>
        <v>675.15527950310559</v>
      </c>
      <c r="D33" s="115"/>
      <c r="E33" s="118">
        <f>IFERROR(SUMPRODUCT($B$23:$B$26,$E$23:$E$26)/SUM($B$23:$B$26),"n/a")</f>
        <v>1915.7619047619048</v>
      </c>
      <c r="F33" s="114">
        <f>IF(SUM(F29:F32)=0,"n/a",SUM(F29:F32))</f>
        <v>61302</v>
      </c>
      <c r="G33" s="114">
        <f>IF(SUM(G29:G32)=0,"n/a",SUM(G29:G32))</f>
        <v>735624</v>
      </c>
      <c r="I33" s="108" t="s">
        <v>275</v>
      </c>
      <c r="J33" s="411">
        <f>'Model Controls'!$K$62</f>
        <v>28.07</v>
      </c>
      <c r="K33" s="110">
        <f>'Model Controls'!$K$35+'Model Controls'!$K$63</f>
        <v>0</v>
      </c>
      <c r="L33" s="110">
        <f t="shared" ref="L33:L36" si="7">IFERROR(K33/$B$10,"n/a")</f>
        <v>0</v>
      </c>
      <c r="M33" s="350"/>
      <c r="O33" s="356" t="s">
        <v>389</v>
      </c>
      <c r="P33" s="363"/>
      <c r="Q33" s="375">
        <f>SUM(Q18:Q32)</f>
        <v>127282591.35393752</v>
      </c>
      <c r="R33" s="363"/>
      <c r="S33" s="375">
        <f>SUM(S18:S32)</f>
        <v>113472091.35393751</v>
      </c>
    </row>
    <row r="34" spans="1:19" x14ac:dyDescent="0.25">
      <c r="A34" s="102" t="s">
        <v>383</v>
      </c>
      <c r="F34" s="119">
        <f>IF(SUM(F21,F27)=0,"n/a",SUM(F21,F27))</f>
        <v>465086</v>
      </c>
      <c r="G34" s="119">
        <f>IF(SUM(G21,G27,G33)=0,"n/a",SUM(G21,G27,G33))</f>
        <v>6316656</v>
      </c>
      <c r="I34" s="117" t="s">
        <v>118</v>
      </c>
      <c r="K34" s="110">
        <f>'Model Controls'!K91</f>
        <v>0</v>
      </c>
      <c r="L34" s="110">
        <f t="shared" si="7"/>
        <v>0</v>
      </c>
      <c r="O34" s="117" t="s">
        <v>240</v>
      </c>
      <c r="Q34" s="183">
        <f>$K41</f>
        <v>9300000</v>
      </c>
      <c r="S34" s="183">
        <f>$K41</f>
        <v>9300000</v>
      </c>
    </row>
    <row r="35" spans="1:19" ht="14.4" thickBot="1" x14ac:dyDescent="0.3">
      <c r="I35" s="117" t="s">
        <v>120</v>
      </c>
      <c r="K35" s="110">
        <f>'Model Controls'!K95</f>
        <v>0</v>
      </c>
      <c r="L35" s="110">
        <f>IFERROR(K35/$B$10,"n/a")</f>
        <v>0</v>
      </c>
      <c r="O35" s="217" t="s">
        <v>391</v>
      </c>
      <c r="P35" s="376"/>
      <c r="Q35" s="376">
        <f t="shared" ref="Q35:S35" si="8">SUM(Q33:Q34)</f>
        <v>136582591.35393751</v>
      </c>
      <c r="R35" s="376"/>
      <c r="S35" s="376">
        <f t="shared" si="8"/>
        <v>122772091.35393751</v>
      </c>
    </row>
    <row r="36" spans="1:19" x14ac:dyDescent="0.25">
      <c r="A36" s="83" t="s">
        <v>384</v>
      </c>
      <c r="B36" s="134" t="s">
        <v>231</v>
      </c>
      <c r="C36" s="184" t="s">
        <v>367</v>
      </c>
      <c r="D36" s="184" t="s">
        <v>385</v>
      </c>
      <c r="E36" s="201" t="s">
        <v>369</v>
      </c>
      <c r="F36" s="201" t="s">
        <v>370</v>
      </c>
      <c r="G36" s="201" t="s">
        <v>371</v>
      </c>
      <c r="I36" s="117" t="s">
        <v>121</v>
      </c>
      <c r="K36" s="110">
        <f>'Model Controls'!K99</f>
        <v>0</v>
      </c>
      <c r="L36" s="110">
        <f t="shared" si="7"/>
        <v>0</v>
      </c>
      <c r="N36" s="109"/>
    </row>
    <row r="37" spans="1:19" x14ac:dyDescent="0.25">
      <c r="A37" s="117" t="s">
        <v>160</v>
      </c>
      <c r="B37" s="115"/>
      <c r="C37" s="122">
        <f>INDEX('Prototype Inputs'!$C$147:$G$148,MATCH(Model_Scenario_Max!$A37,'Prototype Inputs'!$B$147:$B$148,0),MATCH(Model_Scenario_Max!$B$2,'Prototype Inputs'!$C$136:$G$136,0))</f>
        <v>0</v>
      </c>
      <c r="D37" s="104" t="str">
        <f>INDEX('Model Inputs'!$D$20:$H$21,MATCH(Model_Scenario_Max!$A37,'Model Inputs'!$C$20:$C$21,0),MATCH(Model_Scenario_Max!$B$2,'Model Inputs'!$D$3:$H$3,0))</f>
        <v>n/a</v>
      </c>
      <c r="E37" s="115"/>
      <c r="F37" s="96" t="str">
        <f>IFERROR((D37*C37)/12,"n/a")</f>
        <v>n/a</v>
      </c>
      <c r="G37" s="96" t="str">
        <f>IFERROR(F37*12,"n/a")</f>
        <v>n/a</v>
      </c>
      <c r="I37" s="108" t="s">
        <v>387</v>
      </c>
      <c r="J37" s="124"/>
      <c r="K37" s="109">
        <f>SUM(Financing!C64:AX64)</f>
        <v>6089404.1539375028</v>
      </c>
      <c r="L37" s="110">
        <f>IFERROR(K37/$B$10,"n/a")</f>
        <v>28455.1595978388</v>
      </c>
      <c r="N37" s="109"/>
    </row>
    <row r="38" spans="1:19" x14ac:dyDescent="0.25">
      <c r="A38" s="117" t="s">
        <v>162</v>
      </c>
      <c r="B38" s="115"/>
      <c r="C38" s="122">
        <f>INDEX('Prototype Inputs'!$C$147:$G$148,MATCH(Model_Scenario_Max!$A38,'Prototype Inputs'!$B$147:$B$148,0),MATCH(Model_Scenario_Max!$B$2,'Prototype Inputs'!$C$136:$G$136,0))-C39</f>
        <v>28985</v>
      </c>
      <c r="D38" s="123">
        <f>INDEX('Model Inputs'!$D$20:$H$21,MATCH(Model_Scenario_Max!$A38,'Model Inputs'!$C$20:$C$21,0),MATCH(Model_Scenario_Max!$B$2,'Model Inputs'!$D$3:$H$3,0))</f>
        <v>40</v>
      </c>
      <c r="E38" s="115"/>
      <c r="F38" s="116">
        <f>(D38*C38)/12</f>
        <v>96616.666666666672</v>
      </c>
      <c r="G38" s="116">
        <f>F38*12</f>
        <v>1159400</v>
      </c>
      <c r="I38" s="117" t="s">
        <v>390</v>
      </c>
      <c r="K38" s="109">
        <f>IF('Model Controls'!E4="Yes",-'IF_MFTE Calculations'!$D$85,0)</f>
        <v>0</v>
      </c>
      <c r="L38" s="110">
        <f t="shared" ref="L38:L39" si="9">IFERROR(K38/$B$10,"n/a")</f>
        <v>0</v>
      </c>
      <c r="N38" s="97"/>
    </row>
    <row r="39" spans="1:19" x14ac:dyDescent="0.25">
      <c r="A39" s="95" t="s">
        <v>388</v>
      </c>
      <c r="B39" s="115"/>
      <c r="C39" s="122">
        <f>INDEX('Prototype Inputs'!$C$147:$G$148,MATCH(Model_Scenario_Max!$A38,'Prototype Inputs'!$B$147:$B$148,0),MATCH(Model_Scenario_Max!$B$2,'Prototype Inputs'!$C$136:$G$136,0))*'Model Controls'!$K$80</f>
        <v>0</v>
      </c>
      <c r="D39" s="123">
        <f>INDEX('Model Inputs'!$D$24:$H$24,MATCH(Model_Scenario_Max!$A38,'Model Inputs'!$C$24:$C$24,0),MATCH(Model_Scenario_Max!$B$2,'Model Inputs'!$D$3:$H$3,0))</f>
        <v>20</v>
      </c>
      <c r="E39" s="115"/>
      <c r="F39" s="116">
        <f>(D39*C39)/12</f>
        <v>0</v>
      </c>
      <c r="G39" s="116">
        <f>F39*12</f>
        <v>0</v>
      </c>
      <c r="I39" s="117" t="s">
        <v>394</v>
      </c>
      <c r="K39" s="109">
        <f>IF('Model Controls'!E5="Yes",-INDEX('IF_MFTE Calculations'!$C$16:$G$16,MATCH(Model_Scenario_Base!$B$2,'IF_MFTE Calculations'!$C$4:$G$4,0)),0)</f>
        <v>0</v>
      </c>
      <c r="L39" s="110">
        <f t="shared" si="9"/>
        <v>0</v>
      </c>
    </row>
    <row r="40" spans="1:19" x14ac:dyDescent="0.25">
      <c r="A40" s="83" t="s">
        <v>157</v>
      </c>
      <c r="B40" s="83"/>
      <c r="C40" s="125">
        <f>SUM(C37:C39)</f>
        <v>28985</v>
      </c>
      <c r="D40" s="126" t="s">
        <v>324</v>
      </c>
      <c r="E40" s="115"/>
      <c r="F40" s="127">
        <f>SUM(F37:F39)</f>
        <v>96616.666666666672</v>
      </c>
      <c r="G40" s="127">
        <f>SUM(G37:G39)</f>
        <v>1159400</v>
      </c>
      <c r="I40" s="356" t="s">
        <v>389</v>
      </c>
      <c r="J40" s="357"/>
      <c r="K40" s="358">
        <f>SUM(K19:K39)</f>
        <v>120377341.35393751</v>
      </c>
      <c r="L40" s="359">
        <f>IFERROR(K40/$B$10,"n/a")</f>
        <v>562510.94090625003</v>
      </c>
      <c r="M40" s="191"/>
    </row>
    <row r="41" spans="1:19" x14ac:dyDescent="0.25">
      <c r="I41" s="117" t="s">
        <v>240</v>
      </c>
      <c r="J41" s="109">
        <f>INDEX('Model Inputs'!$D$58:$H$58,MATCH($B$2,'Model Inputs'!$D$3:$H$3,0))</f>
        <v>150</v>
      </c>
      <c r="K41" s="183">
        <f>J41*B5</f>
        <v>9300000</v>
      </c>
      <c r="L41" s="110">
        <f>IFERROR(K41/B10,"n/a")</f>
        <v>43457.943925233645</v>
      </c>
      <c r="N41" s="183"/>
    </row>
    <row r="42" spans="1:19" ht="14.4" thickBot="1" x14ac:dyDescent="0.3">
      <c r="A42" s="87" t="s">
        <v>156</v>
      </c>
      <c r="B42" s="134" t="s">
        <v>392</v>
      </c>
      <c r="C42" s="83" t="s">
        <v>367</v>
      </c>
      <c r="D42" s="83" t="s">
        <v>393</v>
      </c>
      <c r="E42" s="83" t="s">
        <v>369</v>
      </c>
      <c r="F42" s="87" t="s">
        <v>370</v>
      </c>
      <c r="G42" s="87" t="s">
        <v>371</v>
      </c>
      <c r="I42" s="217" t="s">
        <v>391</v>
      </c>
      <c r="J42" s="217"/>
      <c r="K42" s="361">
        <f>K41+K40</f>
        <v>129677341.35393751</v>
      </c>
      <c r="L42" s="362">
        <f>IFERROR(K42/$B$10,"n/a")</f>
        <v>605968.88483148371</v>
      </c>
      <c r="N42" s="183"/>
    </row>
    <row r="43" spans="1:19" x14ac:dyDescent="0.25">
      <c r="A43" s="117" t="s">
        <v>166</v>
      </c>
      <c r="B43" s="103">
        <f>INDEX('Prototype Inputs'!$C$184:$G$187,MATCH($A43,'Prototype Inputs'!$B$184:$B$187,0),MATCH(Model_Scenario_Max!$B$2,'Prototype Inputs'!$C$136:$G$136,0))</f>
        <v>186</v>
      </c>
      <c r="C43" s="115"/>
      <c r="D43" s="115"/>
      <c r="N43" s="183"/>
    </row>
    <row r="44" spans="1:19" x14ac:dyDescent="0.25">
      <c r="A44" s="95" t="s">
        <v>338</v>
      </c>
      <c r="B44" s="103">
        <f>IFERROR(MROUND((INDEX('Prototype Inputs'!$C$188:$G$188,MATCH(Model_Scenario_Max!$B$2,'Prototype Inputs'!$C$136:$G$136,0))/INDEX('Prototype Inputs'!$C$183:$G$183,MATCH(Model_Scenario_Max!$B$2,'Prototype Inputs'!$C$136:$G$136,0)))*Model_Scenario_Max!B$43,1),"n/a")</f>
        <v>0</v>
      </c>
      <c r="C44" s="115"/>
      <c r="D44" s="115"/>
      <c r="E44" s="116">
        <f>INDEX('Model Inputs'!$D$27:$H$28,MATCH(Model_Scenario_Max!$A44,'Model Inputs'!$C$27:$C$28,0),MATCH(Model_Scenario_Max!$B$2,'Model Inputs'!$D$3:$H$3,0))</f>
        <v>50</v>
      </c>
      <c r="F44" s="96">
        <f>IFERROR(E44*B44,"n/a")</f>
        <v>0</v>
      </c>
      <c r="G44" s="96">
        <f>IFERROR(F44*12,"n/a")</f>
        <v>0</v>
      </c>
      <c r="K44" s="541"/>
      <c r="N44" s="190"/>
    </row>
    <row r="45" spans="1:19" x14ac:dyDescent="0.25">
      <c r="A45" s="95" t="s">
        <v>327</v>
      </c>
      <c r="B45" s="103">
        <f>IFERROR(B43-B44,"n/a")</f>
        <v>186</v>
      </c>
      <c r="C45" s="115"/>
      <c r="D45" s="115"/>
      <c r="E45" s="116">
        <f>INDEX('Model Inputs'!$D$27:$H$28,MATCH(Model_Scenario_Base!$A39,'Model Inputs'!$C$27:$C$28,0),MATCH(Model_Scenario_Base!$B$2,'Model Inputs'!$D$3:$H$3,0))</f>
        <v>235</v>
      </c>
      <c r="F45" s="96">
        <f>IFERROR(E45*B45,"n/a")</f>
        <v>43710</v>
      </c>
      <c r="G45" s="96">
        <f>IFERROR(F45*12,"n/a")</f>
        <v>524520</v>
      </c>
      <c r="K45" s="191"/>
    </row>
    <row r="46" spans="1:19" x14ac:dyDescent="0.25">
      <c r="A46" s="117" t="s">
        <v>199</v>
      </c>
      <c r="B46" s="103">
        <f>INDEX('Prototype Inputs'!$C$184:$G$187,MATCH($A46,'Prototype Inputs'!$B$184:$B$187,0),MATCH(Model_Scenario_Max!$B$2,'Prototype Inputs'!$C$136:$G$136,0))</f>
        <v>29</v>
      </c>
      <c r="C46" s="115"/>
      <c r="D46" s="115"/>
      <c r="E46" s="115"/>
      <c r="F46" s="115"/>
      <c r="G46" s="115"/>
      <c r="I46" s="83" t="s">
        <v>395</v>
      </c>
      <c r="N46" s="183"/>
    </row>
    <row r="47" spans="1:19" ht="14.4" thickBot="1" x14ac:dyDescent="0.3">
      <c r="A47" s="95" t="s">
        <v>160</v>
      </c>
      <c r="B47" s="103" t="str">
        <f>INDEX('Prototype Inputs'!$C$184:$G$187,MATCH($A47,'Prototype Inputs'!$B$184:$B$187,0),MATCH(Model_Scenario_Max!$B$2,'Prototype Inputs'!$C$136:$G$136,0))</f>
        <v>n/a</v>
      </c>
      <c r="C47" s="115"/>
      <c r="D47" s="115"/>
      <c r="E47" s="115"/>
      <c r="F47" s="115"/>
      <c r="G47" s="115"/>
      <c r="N47" s="183"/>
    </row>
    <row r="48" spans="1:19" x14ac:dyDescent="0.25">
      <c r="A48" s="402" t="s">
        <v>338</v>
      </c>
      <c r="B48" s="103" t="str">
        <f>IFERROR(MROUND((INDEX('Prototype Inputs'!$C$188:$G$188,MATCH(Model_Scenario_Max!$B$2,'Prototype Inputs'!$C$136:$G$136,0))/INDEX('Prototype Inputs'!$C$183:$G$183,MATCH(Model_Scenario_Max!$B$2,'Prototype Inputs'!$C$136:$G$136,0)))*Model_Scenario_Max!B$47,1),"n/a")</f>
        <v>n/a</v>
      </c>
      <c r="C48" s="115"/>
      <c r="D48" s="115"/>
      <c r="E48" s="96" t="str">
        <f>INDEX('Model Inputs'!$D$31:$H$32,MATCH(Model_Scenario_Max!$A48,'Model Inputs'!$C$31:$C$32,0),MATCH(Model_Scenario_Max!$B$2,'Model Inputs'!$D$3:$H$3,0))</f>
        <v>n/a</v>
      </c>
      <c r="F48" s="96" t="str">
        <f>IFERROR(E48*B48,"n/a")</f>
        <v>n/a</v>
      </c>
      <c r="G48" s="96" t="str">
        <f>IFERROR(F48*12,"n/a")</f>
        <v>n/a</v>
      </c>
      <c r="I48" s="381" t="s">
        <v>396</v>
      </c>
      <c r="J48" s="378">
        <f>K48-0.0025</f>
        <v>4.4999999999999998E-2</v>
      </c>
      <c r="K48" s="379" cm="1">
        <f t="array" ref="K48">INDEX('Model Inputs'!$D$65:$H$65,0,MATCH(Model_Scenario_Max!$B$2,'Model Inputs'!$D$3:$H$3,0))</f>
        <v>4.7500000000000001E-2</v>
      </c>
      <c r="L48" s="380">
        <f>K48+0.0025</f>
        <v>0.05</v>
      </c>
      <c r="N48" s="190"/>
    </row>
    <row r="49" spans="1:12" x14ac:dyDescent="0.25">
      <c r="A49" s="402" t="s">
        <v>327</v>
      </c>
      <c r="B49" s="103" t="str">
        <f>IFERROR(B47-B48,"n/a")</f>
        <v>n/a</v>
      </c>
      <c r="C49" s="115"/>
      <c r="D49" s="115"/>
      <c r="E49" s="96" t="str">
        <f>INDEX('Model Inputs'!$D$31:$H$32,MATCH(Model_Scenario_Base!$A43,'Model Inputs'!$C$31:$C$32,0),MATCH(Model_Scenario_Base!$B$2,'Model Inputs'!$D$3:$H$3,0))</f>
        <v>n/a</v>
      </c>
      <c r="F49" s="96" t="str">
        <f>IFERROR(E49*B49,"n/a")</f>
        <v>n/a</v>
      </c>
      <c r="G49" s="96" t="str">
        <f>IFERROR(F49*12,"n/a")</f>
        <v>n/a</v>
      </c>
      <c r="I49" s="108" t="s">
        <v>397</v>
      </c>
      <c r="J49" s="109">
        <f>$K16/J48</f>
        <v>115525467.55555557</v>
      </c>
      <c r="K49" s="109">
        <f>$K16/K48</f>
        <v>109445179.78947368</v>
      </c>
      <c r="L49" s="109">
        <f>$K16/L48</f>
        <v>103972920.8</v>
      </c>
    </row>
    <row r="50" spans="1:12" x14ac:dyDescent="0.25">
      <c r="A50" s="95" t="s">
        <v>162</v>
      </c>
      <c r="B50" s="103">
        <f>INDEX('Prototype Inputs'!$C$184:$G$187,MATCH($A50,'Prototype Inputs'!$B$184:$B$187,0),MATCH(Model_Scenario_Max!$B$2,'Prototype Inputs'!$C$136:$G$136,0))</f>
        <v>29</v>
      </c>
      <c r="C50" s="115"/>
      <c r="D50" s="115"/>
      <c r="E50" s="115"/>
      <c r="F50" s="115"/>
      <c r="G50" s="115"/>
      <c r="I50" s="117" t="s">
        <v>406</v>
      </c>
      <c r="J50" s="109">
        <f>J49-$K40</f>
        <v>-4851873.7983819395</v>
      </c>
      <c r="K50" s="109">
        <f>K49-$K40</f>
        <v>-10932161.564463824</v>
      </c>
      <c r="L50" s="109">
        <f>L49-$K40</f>
        <v>-16404420.55393751</v>
      </c>
    </row>
    <row r="51" spans="1:12" ht="14.4" thickBot="1" x14ac:dyDescent="0.3">
      <c r="A51" s="402" t="s">
        <v>338</v>
      </c>
      <c r="B51" s="103">
        <f>IFERROR(MROUND((INDEX('Prototype Inputs'!$C$188:$G$188,MATCH(Model_Scenario_Max!$B$2,'Prototype Inputs'!$C$136:$G$136,0))/INDEX('Prototype Inputs'!$C$183:$G$183,MATCH(Model_Scenario_Max!$B$2,'Prototype Inputs'!$C$136:$G$136,0)))*Model_Scenario_Max!B$50,1),"n/a")</f>
        <v>0</v>
      </c>
      <c r="C51" s="115"/>
      <c r="D51" s="115"/>
      <c r="E51" s="116">
        <f>INDEX('Model Inputs'!$D$34:$H$35,MATCH(Model_Scenario_Base!$A45,'Model Inputs'!$C$34:$C$35,0),MATCH(Model_Scenario_Base!$B$2,'Model Inputs'!$D$3:$H$3,0))</f>
        <v>0</v>
      </c>
      <c r="F51" s="96">
        <f>IFERROR(E51*B51,"n/a")</f>
        <v>0</v>
      </c>
      <c r="G51" s="96">
        <f>IFERROR(F51*12,"n/a")</f>
        <v>0</v>
      </c>
      <c r="I51" s="195" t="s">
        <v>259</v>
      </c>
      <c r="J51" s="382">
        <f>J50/$B5</f>
        <v>-78.256029006160318</v>
      </c>
      <c r="K51" s="382">
        <f>K50/$B5</f>
        <v>-176.32518652361006</v>
      </c>
      <c r="L51" s="382">
        <f>L50/$B5</f>
        <v>-264.58742828931469</v>
      </c>
    </row>
    <row r="52" spans="1:12" ht="14.4" thickBot="1" x14ac:dyDescent="0.3">
      <c r="A52" s="402" t="s">
        <v>327</v>
      </c>
      <c r="B52" s="103">
        <f>IFERROR(B50-B51,"n/a")</f>
        <v>29</v>
      </c>
      <c r="C52" s="115"/>
      <c r="D52" s="115"/>
      <c r="E52" s="116">
        <f>INDEX('Model Inputs'!$D$34:$H$35,MATCH(Model_Scenario_Base!$A46,'Model Inputs'!$C$34:$C$35,0),MATCH(Model_Scenario_Base!$B$2,'Model Inputs'!$D$3:$H$3,0))</f>
        <v>0</v>
      </c>
      <c r="F52" s="96">
        <f>IFERROR(E52*B52,"n/a")</f>
        <v>0</v>
      </c>
      <c r="G52" s="96">
        <f>IFERROR(F52*12,"n/a")</f>
        <v>0</v>
      </c>
      <c r="L52" s="83"/>
    </row>
    <row r="53" spans="1:12" x14ac:dyDescent="0.25">
      <c r="A53" s="83" t="s">
        <v>157</v>
      </c>
      <c r="B53" s="125">
        <f>IFERROR(B43+B46,B46)</f>
        <v>215</v>
      </c>
      <c r="C53" s="115"/>
      <c r="D53" s="115"/>
      <c r="E53" s="115"/>
      <c r="F53" s="127">
        <f>SUM(F45:F46)</f>
        <v>43710</v>
      </c>
      <c r="G53" s="127">
        <f>SUM(G44:G52)</f>
        <v>524520</v>
      </c>
      <c r="I53" s="139" t="s">
        <v>218</v>
      </c>
      <c r="J53" s="383"/>
      <c r="K53" s="383"/>
      <c r="L53" s="383"/>
    </row>
    <row r="54" spans="1:12" x14ac:dyDescent="0.25">
      <c r="I54" s="1" t="s">
        <v>400</v>
      </c>
      <c r="J54" s="1"/>
      <c r="K54" s="1"/>
      <c r="L54" s="1"/>
    </row>
    <row r="55" spans="1:12" x14ac:dyDescent="0.25">
      <c r="A55" s="83" t="s">
        <v>360</v>
      </c>
      <c r="B55" s="132" t="s">
        <v>399</v>
      </c>
      <c r="C55" s="88"/>
      <c r="D55" s="88"/>
      <c r="E55" s="88"/>
      <c r="F55" s="88"/>
      <c r="G55" s="127">
        <f>SUM(G53,G40,G34)</f>
        <v>8000576</v>
      </c>
      <c r="I55" s="78" t="s">
        <v>401</v>
      </c>
      <c r="J55" s="183">
        <f>K55+50</f>
        <v>200</v>
      </c>
      <c r="K55" s="109">
        <f>INDEX('Model Inputs'!$D$58:$H$58,MATCH($B$2,'Model Inputs'!$D$3:$H$3,0))</f>
        <v>150</v>
      </c>
      <c r="L55" s="183">
        <f>K55-50</f>
        <v>100</v>
      </c>
    </row>
    <row r="56" spans="1:12" x14ac:dyDescent="0.25">
      <c r="I56" s="78" t="s">
        <v>240</v>
      </c>
      <c r="J56" s="183">
        <f>J55*$B5</f>
        <v>12400000</v>
      </c>
      <c r="K56" s="183">
        <f>K55*$B5</f>
        <v>9300000</v>
      </c>
      <c r="L56" s="183">
        <f>L55*$B5</f>
        <v>6200000</v>
      </c>
    </row>
    <row r="57" spans="1:12" x14ac:dyDescent="0.25">
      <c r="I57" s="78" t="s">
        <v>402</v>
      </c>
      <c r="J57" s="183">
        <f>J56+$K40</f>
        <v>132777341.35393751</v>
      </c>
      <c r="K57" s="183">
        <f>K56+$K40</f>
        <v>129677341.35393751</v>
      </c>
      <c r="L57" s="183">
        <f>L56+$K40</f>
        <v>126577341.35393751</v>
      </c>
    </row>
    <row r="58" spans="1:12" x14ac:dyDescent="0.25">
      <c r="I58" s="386" t="s">
        <v>218</v>
      </c>
      <c r="J58" s="190">
        <f>$K16/J57</f>
        <v>3.9153111419381756E-2</v>
      </c>
      <c r="K58" s="190">
        <f>$K16/K57</f>
        <v>4.0089085616051991E-2</v>
      </c>
      <c r="L58" s="190">
        <f>$K16/L57</f>
        <v>4.1070905617012973E-2</v>
      </c>
    </row>
    <row r="59" spans="1:12" x14ac:dyDescent="0.25">
      <c r="I59" s="1" t="s">
        <v>177</v>
      </c>
      <c r="J59" s="1"/>
      <c r="K59" s="1"/>
      <c r="L59" s="1"/>
    </row>
    <row r="60" spans="1:12" x14ac:dyDescent="0.25">
      <c r="I60" s="78" t="s">
        <v>177</v>
      </c>
      <c r="J60" s="183">
        <f>P18</f>
        <v>339.07000000000005</v>
      </c>
      <c r="K60" s="109" cm="1">
        <f t="array" ref="K60">INDEX('Model Inputs'!$D$47:$H$47,0,MATCH(Model_Scenario_Base!$B$2,'Model Inputs'!$D$3:$H$3,0))</f>
        <v>314.07000000000005</v>
      </c>
      <c r="L60" s="183">
        <f>R18</f>
        <v>289.07000000000005</v>
      </c>
    </row>
    <row r="61" spans="1:12" x14ac:dyDescent="0.25">
      <c r="I61" s="78" t="s">
        <v>402</v>
      </c>
      <c r="J61" s="183">
        <f>Q35</f>
        <v>136582591.35393751</v>
      </c>
      <c r="K61" s="183">
        <f>K42</f>
        <v>129677341.35393751</v>
      </c>
      <c r="L61" s="183">
        <f>S35</f>
        <v>122772091.35393751</v>
      </c>
    </row>
    <row r="62" spans="1:12" ht="14.4" thickBot="1" x14ac:dyDescent="0.3">
      <c r="I62" s="384" t="s">
        <v>218</v>
      </c>
      <c r="J62" s="385">
        <f>$K16/J61</f>
        <v>3.8062288820749697E-2</v>
      </c>
      <c r="K62" s="385">
        <f>$K16/K61</f>
        <v>4.0089085616051991E-2</v>
      </c>
      <c r="L62" s="385">
        <f>$K16/L61</f>
        <v>4.2343874594535612E-2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4E2E-AA6F-4BE9-8587-8E9597E47765}">
  <sheetPr codeName="Sheet14">
    <tabColor theme="7"/>
  </sheetPr>
  <dimension ref="B1:P196"/>
  <sheetViews>
    <sheetView topLeftCell="A170" workbookViewId="0">
      <selection activeCell="E180" sqref="E180"/>
    </sheetView>
  </sheetViews>
  <sheetFormatPr defaultColWidth="8.59765625" defaultRowHeight="13.8" x14ac:dyDescent="0.25"/>
  <cols>
    <col min="1" max="1" width="3.19921875" style="78" customWidth="1"/>
    <col min="2" max="2" width="41.59765625" style="78" customWidth="1"/>
    <col min="3" max="3" width="11.59765625" style="78" bestFit="1" customWidth="1"/>
    <col min="4" max="4" width="28.19921875" style="78" customWidth="1"/>
    <col min="5" max="5" width="18" style="78" bestFit="1" customWidth="1"/>
    <col min="6" max="6" width="24.09765625" style="78" bestFit="1" customWidth="1"/>
    <col min="7" max="7" width="22.59765625" style="78" bestFit="1" customWidth="1"/>
    <col min="8" max="8" width="20.59765625" style="78" bestFit="1" customWidth="1"/>
    <col min="9" max="9" width="43.5" style="78" customWidth="1"/>
    <col min="10" max="10" width="57.59765625" style="78" customWidth="1"/>
    <col min="11" max="11" width="14.8984375" style="78" customWidth="1"/>
    <col min="12" max="15" width="14.19921875" style="78" customWidth="1"/>
    <col min="16" max="16384" width="8.59765625" style="78"/>
  </cols>
  <sheetData>
    <row r="1" spans="2:8" x14ac:dyDescent="0.25">
      <c r="B1" s="136" t="s">
        <v>246</v>
      </c>
    </row>
    <row r="2" spans="2:8" x14ac:dyDescent="0.25">
      <c r="B2" s="50" t="s">
        <v>407</v>
      </c>
    </row>
    <row r="3" spans="2:8" x14ac:dyDescent="0.25">
      <c r="B3" s="51" t="s">
        <v>408</v>
      </c>
    </row>
    <row r="4" spans="2:8" x14ac:dyDescent="0.25">
      <c r="B4" s="52" t="s">
        <v>312</v>
      </c>
    </row>
    <row r="5" spans="2:8" x14ac:dyDescent="0.25">
      <c r="B5" s="137" t="s">
        <v>252</v>
      </c>
    </row>
    <row r="7" spans="2:8" ht="17.399999999999999" x14ac:dyDescent="0.3">
      <c r="B7" s="161" t="s">
        <v>139</v>
      </c>
    </row>
    <row r="8" spans="2:8" ht="14.4" thickBot="1" x14ac:dyDescent="0.3"/>
    <row r="9" spans="2:8" x14ac:dyDescent="0.25">
      <c r="B9" s="139" t="s">
        <v>10</v>
      </c>
      <c r="C9" s="140" t="s">
        <v>186</v>
      </c>
      <c r="D9" s="140" t="s">
        <v>187</v>
      </c>
      <c r="E9" s="140" t="s">
        <v>188</v>
      </c>
      <c r="F9" s="140" t="s">
        <v>189</v>
      </c>
      <c r="G9" s="140" t="s">
        <v>190</v>
      </c>
      <c r="H9" s="140" t="s">
        <v>145</v>
      </c>
    </row>
    <row r="10" spans="2:8" x14ac:dyDescent="0.25">
      <c r="B10" s="79" t="s">
        <v>313</v>
      </c>
      <c r="C10" s="441" t="str">
        <f>'Prototype Controls'!E5</f>
        <v>Urban Core</v>
      </c>
      <c r="D10" s="441" t="str">
        <f>'Prototype Controls'!F5</f>
        <v>Mixed-Use Residential Mid-rise</v>
      </c>
      <c r="E10" s="441" t="str">
        <f>'Prototype Controls'!G5</f>
        <v>Mixed-use High-rise</v>
      </c>
      <c r="F10" s="441" t="str">
        <f>'Prototype Controls'!H5</f>
        <v>Mixed-Use Office Mid-rise</v>
      </c>
      <c r="G10" s="441" t="str">
        <f>'Prototype Controls'!I5</f>
        <v>Medical Office High-rise</v>
      </c>
    </row>
    <row r="11" spans="2:8" x14ac:dyDescent="0.25">
      <c r="B11" s="79" t="s">
        <v>192</v>
      </c>
      <c r="C11" s="197">
        <f>C14*C13</f>
        <v>36750</v>
      </c>
      <c r="D11" s="197">
        <f>D14*D13</f>
        <v>21700</v>
      </c>
      <c r="E11" s="197">
        <f t="shared" ref="E11" si="0">E14*E13</f>
        <v>50750</v>
      </c>
      <c r="F11" s="197">
        <f>F14*F13</f>
        <v>21700</v>
      </c>
      <c r="G11" s="197">
        <f>G14*G13</f>
        <v>50750</v>
      </c>
      <c r="H11" s="78" t="s">
        <v>409</v>
      </c>
    </row>
    <row r="12" spans="2:8" x14ac:dyDescent="0.25">
      <c r="B12" s="79" t="s">
        <v>410</v>
      </c>
      <c r="C12" s="48">
        <f>'Model Controls'!$E$42+'Site Calcs'!$C$19</f>
        <v>0.1</v>
      </c>
      <c r="D12" s="48">
        <f>'Model Controls'!$E$42+'Site Calcs'!$C$19</f>
        <v>0.1</v>
      </c>
      <c r="E12" s="48">
        <f>'Model Controls'!$E$42+'Site Calcs'!$C$19</f>
        <v>0.1</v>
      </c>
      <c r="F12" s="48">
        <f>'Model Controls'!$E$42+'Site Calcs'!$C$19</f>
        <v>0.1</v>
      </c>
      <c r="G12" s="48">
        <f>'Model Controls'!$E$42+'Site Calcs'!$C$19</f>
        <v>0.1</v>
      </c>
      <c r="H12" s="78" t="s">
        <v>411</v>
      </c>
    </row>
    <row r="13" spans="2:8" x14ac:dyDescent="0.25">
      <c r="B13" s="79" t="s">
        <v>412</v>
      </c>
      <c r="C13" s="135">
        <f>'Prototype Controls'!E6</f>
        <v>0.35</v>
      </c>
      <c r="D13" s="135">
        <f>'Prototype Controls'!F6</f>
        <v>0.35</v>
      </c>
      <c r="E13" s="135">
        <f>'Prototype Controls'!G6</f>
        <v>0.35</v>
      </c>
      <c r="F13" s="135">
        <f>'Prototype Controls'!H6</f>
        <v>0.35</v>
      </c>
      <c r="G13" s="135">
        <f>'Prototype Controls'!I6</f>
        <v>0.35</v>
      </c>
      <c r="H13" s="78" t="s">
        <v>411</v>
      </c>
    </row>
    <row r="14" spans="2:8" x14ac:dyDescent="0.25">
      <c r="B14" s="79" t="s">
        <v>193</v>
      </c>
      <c r="C14" s="345">
        <f>'Prototype Controls'!E7</f>
        <v>105000</v>
      </c>
      <c r="D14" s="345">
        <f>'Prototype Controls'!F7</f>
        <v>62000</v>
      </c>
      <c r="E14" s="345">
        <f>'Prototype Controls'!G7</f>
        <v>145000</v>
      </c>
      <c r="F14" s="345">
        <f>'Prototype Controls'!H7</f>
        <v>62000</v>
      </c>
      <c r="G14" s="345">
        <f>'Prototype Controls'!I7</f>
        <v>145000</v>
      </c>
      <c r="H14" s="78" t="s">
        <v>409</v>
      </c>
    </row>
    <row r="15" spans="2:8" x14ac:dyDescent="0.25">
      <c r="B15" s="79" t="s">
        <v>194</v>
      </c>
      <c r="C15" s="431">
        <f>(C14*C13)*C29</f>
        <v>735000</v>
      </c>
      <c r="D15" s="431">
        <f t="shared" ref="D15:G15" si="1">(D14*D13)*D29</f>
        <v>130200</v>
      </c>
      <c r="E15" s="431">
        <f t="shared" si="1"/>
        <v>659750</v>
      </c>
      <c r="F15" s="431">
        <f t="shared" si="1"/>
        <v>130200</v>
      </c>
      <c r="G15" s="431">
        <f t="shared" si="1"/>
        <v>659750</v>
      </c>
      <c r="H15" s="78" t="s">
        <v>409</v>
      </c>
    </row>
    <row r="16" spans="2:8" x14ac:dyDescent="0.25">
      <c r="B16" s="79" t="s">
        <v>196</v>
      </c>
      <c r="C16" s="103">
        <f>C15+C67</f>
        <v>1020675</v>
      </c>
      <c r="D16" s="103">
        <f t="shared" ref="D16" si="2">D15+D67</f>
        <v>174400</v>
      </c>
      <c r="E16" s="103">
        <f>E15+E67</f>
        <v>909025</v>
      </c>
      <c r="F16" s="103">
        <f>F15+F67</f>
        <v>195850</v>
      </c>
      <c r="G16" s="103">
        <f t="shared" ref="G16" si="3">G15+G67</f>
        <v>1010100</v>
      </c>
      <c r="H16" s="78" t="s">
        <v>409</v>
      </c>
    </row>
    <row r="17" spans="2:8" x14ac:dyDescent="0.25">
      <c r="B17" s="79" t="s">
        <v>317</v>
      </c>
      <c r="C17" s="422">
        <f>'Prototype Controls'!E9</f>
        <v>0.85</v>
      </c>
      <c r="D17" s="422">
        <f>'Prototype Controls'!F9</f>
        <v>0.85</v>
      </c>
      <c r="E17" s="422">
        <f>'Prototype Controls'!G9</f>
        <v>0.85</v>
      </c>
      <c r="F17" s="422">
        <f>'Prototype Controls'!H9</f>
        <v>0.85</v>
      </c>
      <c r="G17" s="422">
        <f>'Prototype Controls'!I9</f>
        <v>0.85</v>
      </c>
      <c r="H17" s="78" t="s">
        <v>413</v>
      </c>
    </row>
    <row r="18" spans="2:8" x14ac:dyDescent="0.25">
      <c r="B18" s="79" t="s">
        <v>198</v>
      </c>
      <c r="C18" s="103">
        <f t="shared" ref="C18:F18" si="4">MROUND(C15*C17,1)</f>
        <v>624750</v>
      </c>
      <c r="D18" s="103">
        <f t="shared" si="4"/>
        <v>110670</v>
      </c>
      <c r="E18" s="103">
        <f t="shared" si="4"/>
        <v>560788</v>
      </c>
      <c r="F18" s="103">
        <f t="shared" si="4"/>
        <v>110670</v>
      </c>
      <c r="G18" s="103">
        <f>MROUND(G15*G17,1)</f>
        <v>560788</v>
      </c>
      <c r="H18" s="78" t="s">
        <v>409</v>
      </c>
    </row>
    <row r="19" spans="2:8" x14ac:dyDescent="0.25">
      <c r="B19" s="117" t="s">
        <v>166</v>
      </c>
      <c r="C19" s="103">
        <f>MROUND(C$13*C$14*C$17*C30,1)</f>
        <v>593513</v>
      </c>
      <c r="D19" s="103">
        <f>MROUND(D$13*D$14*D$17*D30,1)</f>
        <v>92225</v>
      </c>
      <c r="E19" s="103">
        <f t="shared" ref="E19:G19" si="5">MROUND(E$13*E$14*E$17*E30,1)</f>
        <v>517650</v>
      </c>
      <c r="F19" s="103">
        <f t="shared" si="5"/>
        <v>0</v>
      </c>
      <c r="G19" s="103">
        <f t="shared" si="5"/>
        <v>0</v>
      </c>
      <c r="H19" s="78" t="s">
        <v>409</v>
      </c>
    </row>
    <row r="20" spans="2:8" x14ac:dyDescent="0.25">
      <c r="B20" s="117" t="s">
        <v>199</v>
      </c>
      <c r="C20" s="103">
        <f>SUM(C21:C22)</f>
        <v>31238</v>
      </c>
      <c r="D20" s="103">
        <f t="shared" ref="D20:E20" si="6">SUM(D21:D22)</f>
        <v>18445</v>
      </c>
      <c r="E20" s="103">
        <f t="shared" si="6"/>
        <v>43138</v>
      </c>
      <c r="F20" s="103">
        <f>SUM(F21:F22)</f>
        <v>110670</v>
      </c>
      <c r="G20" s="103">
        <f t="shared" ref="G20" si="7">SUM(G21:G22)</f>
        <v>560788</v>
      </c>
      <c r="H20" s="78" t="s">
        <v>409</v>
      </c>
    </row>
    <row r="21" spans="2:8" x14ac:dyDescent="0.25">
      <c r="B21" s="95" t="s">
        <v>160</v>
      </c>
      <c r="C21" s="103">
        <f>MROUND(C$13*C$14*C$17*C32,1)</f>
        <v>0</v>
      </c>
      <c r="D21" s="103">
        <f t="shared" ref="D21:G21" si="8">MROUND(D$13*D$14*D$17*D32,1)</f>
        <v>0</v>
      </c>
      <c r="E21" s="103">
        <f t="shared" si="8"/>
        <v>0</v>
      </c>
      <c r="F21" s="103">
        <f t="shared" si="8"/>
        <v>92225</v>
      </c>
      <c r="G21" s="103">
        <f t="shared" si="8"/>
        <v>517650</v>
      </c>
    </row>
    <row r="22" spans="2:8" x14ac:dyDescent="0.25">
      <c r="B22" s="95" t="s">
        <v>162</v>
      </c>
      <c r="C22" s="103">
        <f>MROUND(C$13*C$14*C$17*C33,1)</f>
        <v>31238</v>
      </c>
      <c r="D22" s="103">
        <f t="shared" ref="D22:G22" si="9">MROUND(D$13*D$14*D$17*D33,1)</f>
        <v>18445</v>
      </c>
      <c r="E22" s="103">
        <f t="shared" si="9"/>
        <v>43138</v>
      </c>
      <c r="F22" s="103">
        <f t="shared" si="9"/>
        <v>18445</v>
      </c>
      <c r="G22" s="103">
        <f t="shared" si="9"/>
        <v>43138</v>
      </c>
    </row>
    <row r="23" spans="2:8" x14ac:dyDescent="0.25">
      <c r="B23" s="79" t="s">
        <v>200</v>
      </c>
      <c r="C23" s="270">
        <f>'Prototype Controls'!E15</f>
        <v>7</v>
      </c>
      <c r="D23" s="270">
        <f>'Prototype Controls'!F15</f>
        <v>2.1</v>
      </c>
      <c r="E23" s="270">
        <f>'Prototype Controls'!G15</f>
        <v>4.55</v>
      </c>
      <c r="F23" s="270">
        <f>'Prototype Controls'!H15</f>
        <v>2.1</v>
      </c>
      <c r="G23" s="270">
        <f>'Prototype Controls'!I15</f>
        <v>4.55</v>
      </c>
      <c r="H23" s="78" t="s">
        <v>409</v>
      </c>
    </row>
    <row r="24" spans="2:8" x14ac:dyDescent="0.25">
      <c r="B24" s="79" t="s">
        <v>318</v>
      </c>
      <c r="C24" s="270">
        <f>'Prototype Controls'!E16</f>
        <v>8</v>
      </c>
      <c r="D24" s="270">
        <f>'Prototype Controls'!F16</f>
        <v>2.5</v>
      </c>
      <c r="E24" s="270">
        <f>'Prototype Controls'!G16</f>
        <v>6</v>
      </c>
      <c r="F24" s="270">
        <f>'Prototype Controls'!H16</f>
        <v>2.5</v>
      </c>
      <c r="G24" s="270">
        <f>'Prototype Controls'!I16</f>
        <v>6</v>
      </c>
      <c r="H24" s="130"/>
    </row>
    <row r="25" spans="2:8" x14ac:dyDescent="0.25">
      <c r="B25" s="79" t="s">
        <v>414</v>
      </c>
      <c r="C25" s="49">
        <v>15</v>
      </c>
      <c r="D25" s="49">
        <v>15</v>
      </c>
      <c r="E25" s="49">
        <v>15</v>
      </c>
      <c r="F25" s="55">
        <v>15</v>
      </c>
      <c r="G25" s="55">
        <v>15</v>
      </c>
      <c r="H25" s="78" t="s">
        <v>320</v>
      </c>
    </row>
    <row r="26" spans="2:8" x14ac:dyDescent="0.25">
      <c r="B26" s="79" t="s">
        <v>415</v>
      </c>
      <c r="C26" s="49">
        <v>12</v>
      </c>
      <c r="D26" s="49">
        <v>12</v>
      </c>
      <c r="E26" s="49">
        <v>12</v>
      </c>
      <c r="F26" s="55">
        <v>12</v>
      </c>
      <c r="G26" s="55">
        <v>12</v>
      </c>
      <c r="H26" s="78" t="s">
        <v>320</v>
      </c>
    </row>
    <row r="27" spans="2:8" x14ac:dyDescent="0.25">
      <c r="B27" s="79" t="s">
        <v>201</v>
      </c>
      <c r="C27" s="103">
        <f>((C29-1)*C26)+C25</f>
        <v>243</v>
      </c>
      <c r="D27" s="103">
        <f t="shared" ref="D27:E27" si="10">((D29-1)*D26)+D25</f>
        <v>75</v>
      </c>
      <c r="E27" s="103">
        <f t="shared" si="10"/>
        <v>159</v>
      </c>
      <c r="F27" s="103">
        <f>((F29-1)*F26)+F25</f>
        <v>75</v>
      </c>
      <c r="G27" s="103">
        <f t="shared" ref="G27" si="11">((G29-1)*G26)+G25</f>
        <v>159</v>
      </c>
      <c r="H27" s="78" t="s">
        <v>320</v>
      </c>
    </row>
    <row r="28" spans="2:8" x14ac:dyDescent="0.25">
      <c r="B28" s="79" t="s">
        <v>321</v>
      </c>
      <c r="C28" s="422">
        <f>'Prototype Controls'!E19</f>
        <v>250</v>
      </c>
      <c r="D28" s="422">
        <f>'Prototype Controls'!F19</f>
        <v>100</v>
      </c>
      <c r="E28" s="422">
        <f>'Prototype Controls'!G19</f>
        <v>160</v>
      </c>
      <c r="F28" s="422">
        <f>'Prototype Controls'!H19</f>
        <v>100</v>
      </c>
      <c r="G28" s="422">
        <f>'Prototype Controls'!I19</f>
        <v>160</v>
      </c>
      <c r="H28" s="78" t="s">
        <v>320</v>
      </c>
    </row>
    <row r="29" spans="2:8" x14ac:dyDescent="0.25">
      <c r="B29" s="79" t="s">
        <v>203</v>
      </c>
      <c r="C29" s="50">
        <f>'Prototype Controls'!E17</f>
        <v>20</v>
      </c>
      <c r="D29" s="50">
        <f>'Prototype Controls'!F17</f>
        <v>6</v>
      </c>
      <c r="E29" s="50">
        <f>'Prototype Controls'!G17</f>
        <v>13</v>
      </c>
      <c r="F29" s="50">
        <f>'Prototype Controls'!H17</f>
        <v>6</v>
      </c>
      <c r="G29" s="50">
        <f>'Prototype Controls'!I17</f>
        <v>13</v>
      </c>
      <c r="H29" s="78" t="s">
        <v>319</v>
      </c>
    </row>
    <row r="30" spans="2:8" x14ac:dyDescent="0.25">
      <c r="B30" s="117" t="s">
        <v>166</v>
      </c>
      <c r="C30" s="345">
        <f>'Prototype Controls'!E21</f>
        <v>19</v>
      </c>
      <c r="D30" s="345">
        <f>'Prototype Controls'!F21</f>
        <v>5</v>
      </c>
      <c r="E30" s="345">
        <f>'Prototype Controls'!G21</f>
        <v>12</v>
      </c>
      <c r="F30" s="345">
        <f>'Prototype Controls'!H21</f>
        <v>0</v>
      </c>
      <c r="G30" s="345">
        <f>'Prototype Controls'!I21</f>
        <v>0</v>
      </c>
      <c r="H30" s="78" t="s">
        <v>319</v>
      </c>
    </row>
    <row r="31" spans="2:8" x14ac:dyDescent="0.25">
      <c r="B31" s="117" t="s">
        <v>199</v>
      </c>
      <c r="C31" s="345">
        <f>'Prototype Controls'!E22</f>
        <v>1</v>
      </c>
      <c r="D31" s="345">
        <f>'Prototype Controls'!F22</f>
        <v>1</v>
      </c>
      <c r="E31" s="345">
        <f>'Prototype Controls'!G22</f>
        <v>1</v>
      </c>
      <c r="F31" s="345">
        <f>'Prototype Controls'!H22</f>
        <v>6</v>
      </c>
      <c r="G31" s="345">
        <f>'Prototype Controls'!I22</f>
        <v>13</v>
      </c>
      <c r="H31" s="78" t="s">
        <v>319</v>
      </c>
    </row>
    <row r="32" spans="2:8" x14ac:dyDescent="0.25">
      <c r="B32" s="95" t="s">
        <v>160</v>
      </c>
      <c r="C32" s="345">
        <f>'Prototype Controls'!E23</f>
        <v>0</v>
      </c>
      <c r="D32" s="345">
        <f>'Prototype Controls'!F23</f>
        <v>0</v>
      </c>
      <c r="E32" s="345">
        <f>'Prototype Controls'!G23</f>
        <v>0</v>
      </c>
      <c r="F32" s="345">
        <f>'Prototype Controls'!H23</f>
        <v>5</v>
      </c>
      <c r="G32" s="345">
        <f>'Prototype Controls'!I23</f>
        <v>12</v>
      </c>
      <c r="H32" s="78" t="s">
        <v>319</v>
      </c>
    </row>
    <row r="33" spans="2:8" x14ac:dyDescent="0.25">
      <c r="B33" s="95" t="s">
        <v>162</v>
      </c>
      <c r="C33" s="345">
        <f>'Prototype Controls'!E24</f>
        <v>1</v>
      </c>
      <c r="D33" s="345">
        <f>'Prototype Controls'!F24</f>
        <v>1</v>
      </c>
      <c r="E33" s="345">
        <f>'Prototype Controls'!G24</f>
        <v>1</v>
      </c>
      <c r="F33" s="345">
        <f>'Prototype Controls'!H24</f>
        <v>1</v>
      </c>
      <c r="G33" s="345">
        <f>'Prototype Controls'!I24</f>
        <v>1</v>
      </c>
      <c r="H33" s="78" t="s">
        <v>319</v>
      </c>
    </row>
    <row r="34" spans="2:8" x14ac:dyDescent="0.25">
      <c r="B34" s="79" t="s">
        <v>204</v>
      </c>
      <c r="C34" s="103">
        <f>ROUNDUP(C67/'Prototype Inputs'!C11,0)</f>
        <v>8</v>
      </c>
      <c r="D34" s="103">
        <f>ROUNDUP(D67/'Prototype Inputs'!D11,0)</f>
        <v>3</v>
      </c>
      <c r="E34" s="103">
        <f>ROUNDUP(E67/'Prototype Inputs'!E11,0)</f>
        <v>5</v>
      </c>
      <c r="F34" s="103">
        <f>ROUNDUP(F67/'Prototype Inputs'!F11,0)</f>
        <v>4</v>
      </c>
      <c r="G34" s="103">
        <f>ROUNDUP(G67/'Prototype Inputs'!G11,0)</f>
        <v>7</v>
      </c>
      <c r="H34" s="78" t="s">
        <v>319</v>
      </c>
    </row>
    <row r="35" spans="2:8" x14ac:dyDescent="0.25">
      <c r="B35" s="1" t="s">
        <v>323</v>
      </c>
      <c r="C35" s="2"/>
      <c r="D35" s="2"/>
      <c r="E35" s="2"/>
      <c r="F35" s="2"/>
      <c r="G35" s="2"/>
    </row>
    <row r="36" spans="2:8" x14ac:dyDescent="0.25">
      <c r="B36" s="83" t="s">
        <v>206</v>
      </c>
      <c r="C36" s="142">
        <f>ROUNDDOWN((C15-(C11*C31))/C41,0)</f>
        <v>879</v>
      </c>
      <c r="D36" s="142">
        <f t="shared" ref="D36" si="12">ROUNDDOWN((D15-(D11*D31))/D41,0)</f>
        <v>136</v>
      </c>
      <c r="E36" s="142">
        <f>ROUNDDOWN((E15-(E11*E31))/E41,0)</f>
        <v>766</v>
      </c>
      <c r="F36" s="142" t="s">
        <v>324</v>
      </c>
      <c r="G36" s="142" t="s">
        <v>324</v>
      </c>
      <c r="H36" s="78" t="s">
        <v>416</v>
      </c>
    </row>
    <row r="37" spans="2:8" x14ac:dyDescent="0.25">
      <c r="B37" s="117" t="s">
        <v>146</v>
      </c>
      <c r="C37" s="442">
        <f>'Prototype Controls'!E27</f>
        <v>0.3</v>
      </c>
      <c r="D37" s="442">
        <f>'Prototype Controls'!F27</f>
        <v>0.3</v>
      </c>
      <c r="E37" s="442">
        <f>'Prototype Controls'!G27</f>
        <v>0.3</v>
      </c>
      <c r="F37" s="442" t="str">
        <f>'Prototype Controls'!H27</f>
        <v>n/a</v>
      </c>
      <c r="G37" s="442" t="str">
        <f>'Prototype Controls'!I27</f>
        <v>n/a</v>
      </c>
      <c r="H37" s="78" t="s">
        <v>417</v>
      </c>
    </row>
    <row r="38" spans="2:8" x14ac:dyDescent="0.25">
      <c r="B38" s="117" t="s">
        <v>148</v>
      </c>
      <c r="C38" s="442">
        <f>'Prototype Controls'!E28</f>
        <v>0.6</v>
      </c>
      <c r="D38" s="442">
        <f>'Prototype Controls'!F28</f>
        <v>0.6</v>
      </c>
      <c r="E38" s="442">
        <f>'Prototype Controls'!G28</f>
        <v>0.6</v>
      </c>
      <c r="F38" s="442" t="str">
        <f>'Prototype Controls'!H28</f>
        <v>n/a</v>
      </c>
      <c r="G38" s="442" t="str">
        <f>'Prototype Controls'!I28</f>
        <v>n/a</v>
      </c>
      <c r="H38" s="78" t="s">
        <v>417</v>
      </c>
    </row>
    <row r="39" spans="2:8" x14ac:dyDescent="0.25">
      <c r="B39" s="117" t="s">
        <v>149</v>
      </c>
      <c r="C39" s="442">
        <f>'Prototype Controls'!E29</f>
        <v>0.1</v>
      </c>
      <c r="D39" s="442">
        <f>'Prototype Controls'!F29</f>
        <v>0.1</v>
      </c>
      <c r="E39" s="442">
        <f>'Prototype Controls'!G29</f>
        <v>0.1</v>
      </c>
      <c r="F39" s="442" t="str">
        <f>'Prototype Controls'!H29</f>
        <v>n/a</v>
      </c>
      <c r="G39" s="442" t="str">
        <f>'Prototype Controls'!I29</f>
        <v>n/a</v>
      </c>
      <c r="H39" s="124" t="s">
        <v>417</v>
      </c>
    </row>
    <row r="40" spans="2:8" x14ac:dyDescent="0.25">
      <c r="B40" s="117" t="s">
        <v>150</v>
      </c>
      <c r="C40" s="442">
        <f>'Prototype Controls'!E30</f>
        <v>0</v>
      </c>
      <c r="D40" s="442">
        <f>'Prototype Controls'!F30</f>
        <v>0</v>
      </c>
      <c r="E40" s="442">
        <f>'Prototype Controls'!G30</f>
        <v>0</v>
      </c>
      <c r="F40" s="442" t="str">
        <f>'Prototype Controls'!H30</f>
        <v>n/a</v>
      </c>
      <c r="G40" s="442" t="str">
        <f>'Prototype Controls'!I30</f>
        <v>n/a</v>
      </c>
      <c r="H40" s="124" t="s">
        <v>417</v>
      </c>
    </row>
    <row r="41" spans="2:8" x14ac:dyDescent="0.25">
      <c r="B41" s="141" t="s">
        <v>418</v>
      </c>
      <c r="C41" s="142">
        <f>SUMPRODUCT(C42:C45,C37:C40)</f>
        <v>794.11764705882354</v>
      </c>
      <c r="D41" s="142">
        <f>SUMPRODUCT(D42:D45,D37:D40)</f>
        <v>794.11764705882354</v>
      </c>
      <c r="E41" s="142">
        <f>SUMPRODUCT(E42:E45,E37:E40)</f>
        <v>794.11764705882354</v>
      </c>
      <c r="F41" s="142" t="s">
        <v>324</v>
      </c>
      <c r="G41" s="142" t="s">
        <v>324</v>
      </c>
      <c r="H41" s="78" t="s">
        <v>409</v>
      </c>
    </row>
    <row r="42" spans="2:8" x14ac:dyDescent="0.25">
      <c r="B42" s="117" t="s">
        <v>146</v>
      </c>
      <c r="C42" s="143">
        <f>C47/C17</f>
        <v>647.05882352941182</v>
      </c>
      <c r="D42" s="143">
        <f t="shared" ref="D42:E42" si="13">D47/D17</f>
        <v>647.05882352941182</v>
      </c>
      <c r="E42" s="143">
        <f t="shared" si="13"/>
        <v>647.05882352941182</v>
      </c>
      <c r="F42" s="143" t="s">
        <v>324</v>
      </c>
      <c r="G42" s="143" t="s">
        <v>324</v>
      </c>
      <c r="H42" s="78" t="s">
        <v>409</v>
      </c>
    </row>
    <row r="43" spans="2:8" x14ac:dyDescent="0.25">
      <c r="B43" s="117" t="s">
        <v>148</v>
      </c>
      <c r="C43" s="143">
        <f>C48/C17</f>
        <v>823.52941176470586</v>
      </c>
      <c r="D43" s="143">
        <f t="shared" ref="D43:E43" si="14">D48/D17</f>
        <v>823.52941176470586</v>
      </c>
      <c r="E43" s="143">
        <f t="shared" si="14"/>
        <v>823.52941176470586</v>
      </c>
      <c r="F43" s="143" t="s">
        <v>324</v>
      </c>
      <c r="G43" s="143" t="s">
        <v>324</v>
      </c>
      <c r="H43" s="78" t="s">
        <v>409</v>
      </c>
    </row>
    <row r="44" spans="2:8" x14ac:dyDescent="0.25">
      <c r="B44" s="117" t="s">
        <v>149</v>
      </c>
      <c r="C44" s="143">
        <f>C49/C17</f>
        <v>1058.8235294117646</v>
      </c>
      <c r="D44" s="143">
        <f t="shared" ref="D44:E44" si="15">D49/D17</f>
        <v>1058.8235294117646</v>
      </c>
      <c r="E44" s="143">
        <f t="shared" si="15"/>
        <v>1058.8235294117646</v>
      </c>
      <c r="F44" s="143" t="s">
        <v>324</v>
      </c>
      <c r="G44" s="143" t="s">
        <v>324</v>
      </c>
      <c r="H44" s="78" t="s">
        <v>409</v>
      </c>
    </row>
    <row r="45" spans="2:8" x14ac:dyDescent="0.25">
      <c r="B45" s="117" t="s">
        <v>150</v>
      </c>
      <c r="C45" s="143">
        <f>C50/C17</f>
        <v>1411.7647058823529</v>
      </c>
      <c r="D45" s="143">
        <f t="shared" ref="D45:E45" si="16">D50/D17</f>
        <v>1411.7647058823529</v>
      </c>
      <c r="E45" s="143">
        <f t="shared" si="16"/>
        <v>1411.7647058823529</v>
      </c>
      <c r="F45" s="143" t="s">
        <v>324</v>
      </c>
      <c r="G45" s="143" t="s">
        <v>324</v>
      </c>
      <c r="H45" s="78" t="s">
        <v>409</v>
      </c>
    </row>
    <row r="46" spans="2:8" x14ac:dyDescent="0.25">
      <c r="B46" s="141" t="s">
        <v>325</v>
      </c>
      <c r="C46" s="142">
        <f>SUMPRODUCT(C47:C50,C37:C40)</f>
        <v>675</v>
      </c>
      <c r="D46" s="142">
        <f>SUMPRODUCT(D47:D50,D37:D40)</f>
        <v>675</v>
      </c>
      <c r="E46" s="142">
        <f>SUMPRODUCT(E47:E50,E37:E40)</f>
        <v>675</v>
      </c>
      <c r="F46" s="142" t="s">
        <v>324</v>
      </c>
      <c r="G46" s="142" t="s">
        <v>324</v>
      </c>
      <c r="H46" s="78" t="s">
        <v>409</v>
      </c>
    </row>
    <row r="47" spans="2:8" x14ac:dyDescent="0.25">
      <c r="B47" s="117" t="s">
        <v>146</v>
      </c>
      <c r="C47" s="346">
        <f>'Prototype Controls'!E32</f>
        <v>550</v>
      </c>
      <c r="D47" s="346">
        <f>'Prototype Controls'!F32</f>
        <v>550</v>
      </c>
      <c r="E47" s="346">
        <f>'Prototype Controls'!G32</f>
        <v>550</v>
      </c>
      <c r="F47" s="346" t="str">
        <f>'Prototype Controls'!H32</f>
        <v>n/a</v>
      </c>
      <c r="G47" s="346" t="str">
        <f>'Prototype Controls'!I32</f>
        <v>n/a</v>
      </c>
      <c r="H47" s="78" t="s">
        <v>409</v>
      </c>
    </row>
    <row r="48" spans="2:8" x14ac:dyDescent="0.25">
      <c r="B48" s="117" t="s">
        <v>148</v>
      </c>
      <c r="C48" s="346">
        <f>'Prototype Controls'!E33</f>
        <v>700</v>
      </c>
      <c r="D48" s="346">
        <f>'Prototype Controls'!F33</f>
        <v>700</v>
      </c>
      <c r="E48" s="346">
        <f>'Prototype Controls'!G33</f>
        <v>700</v>
      </c>
      <c r="F48" s="346" t="str">
        <f>'Prototype Controls'!H33</f>
        <v>n/a</v>
      </c>
      <c r="G48" s="346" t="str">
        <f>'Prototype Controls'!I33</f>
        <v>n/a</v>
      </c>
      <c r="H48" s="78" t="s">
        <v>409</v>
      </c>
    </row>
    <row r="49" spans="2:8" x14ac:dyDescent="0.25">
      <c r="B49" s="117" t="s">
        <v>149</v>
      </c>
      <c r="C49" s="346">
        <f>'Prototype Controls'!E34</f>
        <v>900</v>
      </c>
      <c r="D49" s="346">
        <f>'Prototype Controls'!F34</f>
        <v>900</v>
      </c>
      <c r="E49" s="346">
        <f>'Prototype Controls'!G34</f>
        <v>900</v>
      </c>
      <c r="F49" s="346" t="str">
        <f>'Prototype Controls'!H34</f>
        <v>n/a</v>
      </c>
      <c r="G49" s="346" t="str">
        <f>'Prototype Controls'!I34</f>
        <v>n/a</v>
      </c>
      <c r="H49" s="78" t="s">
        <v>409</v>
      </c>
    </row>
    <row r="50" spans="2:8" x14ac:dyDescent="0.25">
      <c r="B50" s="117" t="s">
        <v>150</v>
      </c>
      <c r="C50" s="346">
        <f>'Prototype Controls'!E35</f>
        <v>1200</v>
      </c>
      <c r="D50" s="346">
        <f>'Prototype Controls'!F35</f>
        <v>1200</v>
      </c>
      <c r="E50" s="346">
        <f>'Prototype Controls'!G35</f>
        <v>1200</v>
      </c>
      <c r="F50" s="346" t="str">
        <f>'Prototype Controls'!H35</f>
        <v>n/a</v>
      </c>
      <c r="G50" s="346" t="str">
        <f>'Prototype Controls'!I35</f>
        <v>n/a</v>
      </c>
      <c r="H50" s="78" t="s">
        <v>409</v>
      </c>
    </row>
    <row r="51" spans="2:8" x14ac:dyDescent="0.25">
      <c r="B51" s="1" t="s">
        <v>156</v>
      </c>
      <c r="C51" s="2"/>
      <c r="D51" s="2"/>
      <c r="E51" s="2"/>
      <c r="F51" s="2"/>
      <c r="G51" s="2"/>
    </row>
    <row r="52" spans="2:8" x14ac:dyDescent="0.25">
      <c r="B52" s="79" t="s">
        <v>326</v>
      </c>
      <c r="C52" s="422" t="str">
        <f>'Prototype Controls'!E37</f>
        <v>Structured</v>
      </c>
      <c r="D52" s="422" t="str">
        <f>'Prototype Controls'!F37</f>
        <v>Structured</v>
      </c>
      <c r="E52" s="422" t="str">
        <f>'Prototype Controls'!G37</f>
        <v>Structured</v>
      </c>
      <c r="F52" s="422" t="str">
        <f>'Prototype Controls'!H37</f>
        <v>Structured</v>
      </c>
      <c r="G52" s="422" t="str">
        <f>'Prototype Controls'!I37</f>
        <v>Structured</v>
      </c>
      <c r="H52" s="78" t="s">
        <v>328</v>
      </c>
    </row>
    <row r="53" spans="2:8" x14ac:dyDescent="0.25">
      <c r="B53" s="83" t="s">
        <v>419</v>
      </c>
      <c r="C53" s="126"/>
      <c r="D53" s="126"/>
      <c r="E53" s="126"/>
      <c r="F53" s="126"/>
      <c r="G53" s="126"/>
    </row>
    <row r="54" spans="2:8" x14ac:dyDescent="0.25">
      <c r="B54" s="117" t="s">
        <v>166</v>
      </c>
      <c r="C54" s="423">
        <f>'Prototype Controls'!E39</f>
        <v>0.96499999999999997</v>
      </c>
      <c r="D54" s="423">
        <f>'Prototype Controls'!F39</f>
        <v>0.87</v>
      </c>
      <c r="E54" s="423">
        <f>'Prototype Controls'!G39</f>
        <v>0.94499999999999995</v>
      </c>
      <c r="F54" s="423" t="str">
        <f>'Prototype Controls'!H39</f>
        <v>n/a</v>
      </c>
      <c r="G54" s="423" t="str">
        <f>'Prototype Controls'!I39</f>
        <v>n/a</v>
      </c>
      <c r="H54" s="78" t="s">
        <v>420</v>
      </c>
    </row>
    <row r="55" spans="2:8" x14ac:dyDescent="0.25">
      <c r="B55" s="117" t="s">
        <v>162</v>
      </c>
      <c r="C55" s="423">
        <f>'Prototype Controls'!E40</f>
        <v>1</v>
      </c>
      <c r="D55" s="423">
        <f>'Prototype Controls'!F40</f>
        <v>1</v>
      </c>
      <c r="E55" s="423">
        <f>'Prototype Controls'!G40</f>
        <v>1</v>
      </c>
      <c r="F55" s="423">
        <f>'Prototype Controls'!H40</f>
        <v>1</v>
      </c>
      <c r="G55" s="423">
        <f>'Prototype Controls'!I40</f>
        <v>1</v>
      </c>
      <c r="H55" s="78" t="s">
        <v>421</v>
      </c>
    </row>
    <row r="56" spans="2:8" x14ac:dyDescent="0.25">
      <c r="B56" s="117" t="s">
        <v>160</v>
      </c>
      <c r="C56" s="423" t="str">
        <f>'Prototype Controls'!E41</f>
        <v>n/a</v>
      </c>
      <c r="D56" s="423" t="str">
        <f>'Prototype Controls'!F41</f>
        <v>n/a</v>
      </c>
      <c r="E56" s="423" t="str">
        <f>'Prototype Controls'!G41</f>
        <v>n/a</v>
      </c>
      <c r="F56" s="423">
        <f>'Prototype Controls'!H41</f>
        <v>2</v>
      </c>
      <c r="G56" s="423">
        <f>'Prototype Controls'!I41</f>
        <v>2</v>
      </c>
      <c r="H56" s="78" t="s">
        <v>421</v>
      </c>
    </row>
    <row r="57" spans="2:8" x14ac:dyDescent="0.25">
      <c r="B57" s="141" t="s">
        <v>364</v>
      </c>
      <c r="C57" s="142">
        <f>SUM(C58:C59)</f>
        <v>879</v>
      </c>
      <c r="D57" s="142">
        <f t="shared" ref="D57" si="17">SUM(D58:D59)</f>
        <v>136</v>
      </c>
      <c r="E57" s="142">
        <f>SUM(E58:E59)</f>
        <v>767</v>
      </c>
      <c r="F57" s="142">
        <f>SUM(F58:F59)</f>
        <v>202</v>
      </c>
      <c r="G57" s="142">
        <f t="shared" ref="G57" si="18">SUM(G58:G59)</f>
        <v>1078</v>
      </c>
      <c r="H57" s="78" t="s">
        <v>422</v>
      </c>
    </row>
    <row r="58" spans="2:8" x14ac:dyDescent="0.25">
      <c r="B58" s="117" t="s">
        <v>166</v>
      </c>
      <c r="C58" s="143">
        <f>IFERROR(MROUND(C36*C54,1),"n/a")</f>
        <v>848</v>
      </c>
      <c r="D58" s="143">
        <f t="shared" ref="D58:G58" si="19">IFERROR(MROUND(D36*D54,1),"n/a")</f>
        <v>118</v>
      </c>
      <c r="E58" s="143">
        <f>IFERROR(MROUND(E36*E54,1),"n/a")</f>
        <v>724</v>
      </c>
      <c r="F58" s="143" t="str">
        <f t="shared" si="19"/>
        <v>n/a</v>
      </c>
      <c r="G58" s="143" t="str">
        <f t="shared" si="19"/>
        <v>n/a</v>
      </c>
      <c r="H58" s="78" t="s">
        <v>422</v>
      </c>
    </row>
    <row r="59" spans="2:8" x14ac:dyDescent="0.25">
      <c r="B59" s="117" t="s">
        <v>199</v>
      </c>
      <c r="C59" s="122">
        <f>SUM(C60:C61)</f>
        <v>31</v>
      </c>
      <c r="D59" s="122">
        <f t="shared" ref="D59:E59" si="20">SUM(D60:D61)</f>
        <v>18</v>
      </c>
      <c r="E59" s="122">
        <f t="shared" si="20"/>
        <v>43</v>
      </c>
      <c r="F59" s="122">
        <f>SUM(F60:F61)</f>
        <v>202</v>
      </c>
      <c r="G59" s="122">
        <f>SUM(G60:G61)</f>
        <v>1078</v>
      </c>
      <c r="H59" s="78" t="s">
        <v>422</v>
      </c>
    </row>
    <row r="60" spans="2:8" x14ac:dyDescent="0.25">
      <c r="B60" s="95" t="s">
        <v>162</v>
      </c>
      <c r="C60" s="103">
        <f>MROUND('Prototype Inputs'!C22/1000*C55,1)</f>
        <v>31</v>
      </c>
      <c r="D60" s="103">
        <f>MROUND('Prototype Inputs'!D22/1000*D55,1)</f>
        <v>18</v>
      </c>
      <c r="E60" s="103">
        <f>MROUND('Prototype Inputs'!E22/1000*E55,1)</f>
        <v>43</v>
      </c>
      <c r="F60" s="103">
        <f>MROUND('Prototype Inputs'!F22/1000*F55,1)</f>
        <v>18</v>
      </c>
      <c r="G60" s="103">
        <f>MROUND('Prototype Inputs'!G22/1000*G55,1)</f>
        <v>43</v>
      </c>
      <c r="H60" s="78" t="s">
        <v>422</v>
      </c>
    </row>
    <row r="61" spans="2:8" x14ac:dyDescent="0.25">
      <c r="B61" s="95" t="s">
        <v>160</v>
      </c>
      <c r="C61" s="103" t="str">
        <f>IFERROR(MROUND('Prototype Inputs'!C21/1000*C56,1),"n/a")</f>
        <v>n/a</v>
      </c>
      <c r="D61" s="103" t="str">
        <f>IFERROR(MROUND('Prototype Inputs'!D21/1000*D56,1),"n/a")</f>
        <v>n/a</v>
      </c>
      <c r="E61" s="103" t="str">
        <f>IFERROR(MROUND('Prototype Inputs'!E21/1000*E56,1),"n/a")</f>
        <v>n/a</v>
      </c>
      <c r="F61" s="103">
        <f>IFERROR(MROUND('Prototype Inputs'!F21/1000*F56,1),"n/a")</f>
        <v>184</v>
      </c>
      <c r="G61" s="103">
        <f>IFERROR(MROUND('Prototype Inputs'!G21/1000*G56,1),"n/a")</f>
        <v>1035</v>
      </c>
      <c r="H61" s="78" t="s">
        <v>422</v>
      </c>
    </row>
    <row r="62" spans="2:8" x14ac:dyDescent="0.25">
      <c r="B62" s="117" t="s">
        <v>338</v>
      </c>
      <c r="C62" s="143">
        <f>IF(OR(C52=$B62,C52="Mixed"),IF(ROUNDDOWN((C14-(C14*(SUM(C12:C13))))/C65,0)&gt;C57,C57,ROUNDDOWN((C14-(C14*(SUM(C12:C13))))/C65,0)),0)</f>
        <v>0</v>
      </c>
      <c r="D62" s="143">
        <f t="shared" ref="D62:G62" si="21">IF(OR(D52=$B62,D52="Mixed"),IF(ROUNDDOWN((D14-(D14*(SUM(D12:D13))))/D65,0)&gt;D57,D57,ROUNDDOWN((D14-(D14*(SUM(D12:D13))))/D65,0)),0)</f>
        <v>0</v>
      </c>
      <c r="E62" s="143">
        <f t="shared" si="21"/>
        <v>0</v>
      </c>
      <c r="F62" s="143">
        <f t="shared" si="21"/>
        <v>0</v>
      </c>
      <c r="G62" s="143">
        <f t="shared" si="21"/>
        <v>0</v>
      </c>
    </row>
    <row r="63" spans="2:8" x14ac:dyDescent="0.25">
      <c r="B63" s="117" t="s">
        <v>327</v>
      </c>
      <c r="C63" s="103">
        <f>IF(C52=$B$125,C57,C57-C62)</f>
        <v>879</v>
      </c>
      <c r="D63" s="103">
        <f>IF(D52=$B$125,D57,D57-D62)</f>
        <v>136</v>
      </c>
      <c r="E63" s="103">
        <f>IF(E52=$B$125,E57,E57-E62)</f>
        <v>767</v>
      </c>
      <c r="F63" s="103">
        <f>IF(F52=$B$125,F57,F57-F62)</f>
        <v>202</v>
      </c>
      <c r="G63" s="103">
        <f>IF(G52=$B$125,G57,G57-G62)</f>
        <v>1078</v>
      </c>
    </row>
    <row r="64" spans="2:8" x14ac:dyDescent="0.25">
      <c r="B64" s="79" t="s">
        <v>423</v>
      </c>
    </row>
    <row r="65" spans="2:14" x14ac:dyDescent="0.25">
      <c r="B65" s="117" t="s">
        <v>338</v>
      </c>
      <c r="C65" s="51">
        <v>300</v>
      </c>
      <c r="D65" s="51">
        <v>300</v>
      </c>
      <c r="E65" s="51">
        <v>300</v>
      </c>
      <c r="F65" s="51">
        <v>300</v>
      </c>
      <c r="G65" s="51">
        <v>300</v>
      </c>
      <c r="H65" s="78" t="s">
        <v>409</v>
      </c>
    </row>
    <row r="66" spans="2:14" x14ac:dyDescent="0.25">
      <c r="B66" s="117" t="s">
        <v>327</v>
      </c>
      <c r="C66" s="49">
        <v>325</v>
      </c>
      <c r="D66" s="49">
        <v>325</v>
      </c>
      <c r="E66" s="49">
        <v>325</v>
      </c>
      <c r="F66" s="49">
        <v>325</v>
      </c>
      <c r="G66" s="49">
        <v>325</v>
      </c>
      <c r="H66" s="78" t="s">
        <v>409</v>
      </c>
    </row>
    <row r="67" spans="2:14" ht="14.4" thickBot="1" x14ac:dyDescent="0.3">
      <c r="B67" s="145" t="s">
        <v>424</v>
      </c>
      <c r="C67" s="146">
        <f>(C63*C66)</f>
        <v>285675</v>
      </c>
      <c r="D67" s="146">
        <f>(D63*D66)</f>
        <v>44200</v>
      </c>
      <c r="E67" s="146">
        <f t="shared" ref="E67:F67" si="22">(E63*E66)</f>
        <v>249275</v>
      </c>
      <c r="F67" s="146">
        <f t="shared" si="22"/>
        <v>65650</v>
      </c>
      <c r="G67" s="146">
        <f>(G63*G66)</f>
        <v>350350</v>
      </c>
      <c r="H67" s="78" t="s">
        <v>409</v>
      </c>
    </row>
    <row r="69" spans="2:14" ht="17.399999999999999" x14ac:dyDescent="0.3">
      <c r="B69" s="138" t="s">
        <v>140</v>
      </c>
      <c r="C69" s="122"/>
      <c r="D69" s="122"/>
      <c r="E69" s="122"/>
      <c r="F69" s="122"/>
      <c r="G69" s="122"/>
    </row>
    <row r="70" spans="2:14" ht="14.4" thickBot="1" x14ac:dyDescent="0.3">
      <c r="B70" s="83"/>
    </row>
    <row r="71" spans="2:14" x14ac:dyDescent="0.25">
      <c r="B71" s="139" t="s">
        <v>10</v>
      </c>
      <c r="C71" s="140" t="s">
        <v>186</v>
      </c>
      <c r="D71" s="140" t="s">
        <v>187</v>
      </c>
      <c r="E71" s="140" t="s">
        <v>188</v>
      </c>
      <c r="F71" s="140" t="s">
        <v>189</v>
      </c>
      <c r="G71" s="140" t="s">
        <v>190</v>
      </c>
      <c r="H71" s="140" t="s">
        <v>145</v>
      </c>
      <c r="I71" s="134"/>
    </row>
    <row r="72" spans="2:14" x14ac:dyDescent="0.25">
      <c r="B72" s="79" t="s">
        <v>313</v>
      </c>
      <c r="C72" s="441" t="str">
        <f>'Prototype Controls'!E47</f>
        <v>Urban Core</v>
      </c>
      <c r="D72" s="441" t="str">
        <f>'Prototype Controls'!F47</f>
        <v>Mixed-Use Residential Mid-rise</v>
      </c>
      <c r="E72" s="441" t="str">
        <f>'Prototype Controls'!G47</f>
        <v>Mixed-use High-rise</v>
      </c>
      <c r="F72" s="441" t="str">
        <f>'Prototype Controls'!H47</f>
        <v>Mixed-Use Office Mid-rise</v>
      </c>
      <c r="G72" s="441" t="str">
        <f>'Prototype Controls'!I47</f>
        <v>Medical Office High-rise</v>
      </c>
    </row>
    <row r="73" spans="2:14" x14ac:dyDescent="0.25">
      <c r="B73" s="79" t="s">
        <v>192</v>
      </c>
      <c r="C73" s="197">
        <f>C76*C75</f>
        <v>36750</v>
      </c>
      <c r="D73" s="197">
        <f>D76*D75</f>
        <v>21700</v>
      </c>
      <c r="E73" s="197">
        <f t="shared" ref="E73" si="23">E76*E75</f>
        <v>50750</v>
      </c>
      <c r="F73" s="197">
        <f>F76*F75</f>
        <v>21700</v>
      </c>
      <c r="G73" s="197">
        <f>G76*G75</f>
        <v>50750</v>
      </c>
      <c r="H73" s="78" t="s">
        <v>409</v>
      </c>
    </row>
    <row r="74" spans="2:14" x14ac:dyDescent="0.25">
      <c r="B74" s="79" t="s">
        <v>410</v>
      </c>
      <c r="C74" s="48">
        <f>'Model Controls'!$H$42+'Site Calcs'!$C$19</f>
        <v>0.1</v>
      </c>
      <c r="D74" s="48">
        <f>'Model Controls'!$H$42+'Site Calcs'!$C$19</f>
        <v>0.1</v>
      </c>
      <c r="E74" s="48">
        <f>'Model Controls'!$H$42+'Site Calcs'!$C$19</f>
        <v>0.1</v>
      </c>
      <c r="F74" s="48">
        <f>'Model Controls'!$H$42+'Site Calcs'!$C$19</f>
        <v>0.1</v>
      </c>
      <c r="G74" s="48">
        <f>'Model Controls'!$H$42+'Site Calcs'!$C$19</f>
        <v>0.1</v>
      </c>
      <c r="H74" s="78" t="s">
        <v>411</v>
      </c>
    </row>
    <row r="75" spans="2:14" x14ac:dyDescent="0.25">
      <c r="B75" s="79" t="s">
        <v>412</v>
      </c>
      <c r="C75" s="135">
        <f>'Prototype Controls'!E48</f>
        <v>0.35</v>
      </c>
      <c r="D75" s="135">
        <f>'Prototype Controls'!F48</f>
        <v>0.35</v>
      </c>
      <c r="E75" s="135">
        <f>'Prototype Controls'!G48</f>
        <v>0.35</v>
      </c>
      <c r="F75" s="135">
        <f>'Prototype Controls'!H48</f>
        <v>0.35</v>
      </c>
      <c r="G75" s="135">
        <f>'Prototype Controls'!I48</f>
        <v>0.35</v>
      </c>
      <c r="H75" s="78" t="s">
        <v>411</v>
      </c>
    </row>
    <row r="76" spans="2:14" x14ac:dyDescent="0.25">
      <c r="B76" s="79" t="s">
        <v>193</v>
      </c>
      <c r="C76" s="345">
        <f>'Prototype Controls'!E49</f>
        <v>105000</v>
      </c>
      <c r="D76" s="345">
        <f>'Prototype Controls'!F49</f>
        <v>62000</v>
      </c>
      <c r="E76" s="345">
        <f>'Prototype Controls'!G49</f>
        <v>145000</v>
      </c>
      <c r="F76" s="345">
        <f>'Prototype Controls'!H49</f>
        <v>62000</v>
      </c>
      <c r="G76" s="345">
        <f>'Prototype Controls'!I49</f>
        <v>145000</v>
      </c>
      <c r="H76" s="78" t="s">
        <v>409</v>
      </c>
    </row>
    <row r="77" spans="2:14" x14ac:dyDescent="0.25">
      <c r="B77" s="79" t="s">
        <v>194</v>
      </c>
      <c r="C77" s="431">
        <f>(C76*C75)*C91</f>
        <v>735000</v>
      </c>
      <c r="D77" s="431">
        <f t="shared" ref="D77:F77" si="24">(D76*D75)*D91</f>
        <v>130200</v>
      </c>
      <c r="E77" s="431">
        <f t="shared" si="24"/>
        <v>659750</v>
      </c>
      <c r="F77" s="431">
        <f t="shared" si="24"/>
        <v>130200</v>
      </c>
      <c r="G77" s="431">
        <f>(G76*G75)*G91</f>
        <v>659750</v>
      </c>
      <c r="H77" s="78" t="s">
        <v>409</v>
      </c>
    </row>
    <row r="78" spans="2:14" x14ac:dyDescent="0.25">
      <c r="B78" s="79" t="s">
        <v>196</v>
      </c>
      <c r="C78" s="103">
        <f>C77+C129</f>
        <v>1020675</v>
      </c>
      <c r="D78" s="103">
        <f t="shared" ref="D78:G78" si="25">D77+D129</f>
        <v>174400</v>
      </c>
      <c r="E78" s="103">
        <f>E77+E129</f>
        <v>909025</v>
      </c>
      <c r="F78" s="103">
        <f>F77+F129</f>
        <v>195850</v>
      </c>
      <c r="G78" s="103">
        <f t="shared" si="25"/>
        <v>1010100</v>
      </c>
      <c r="H78" s="78" t="s">
        <v>409</v>
      </c>
    </row>
    <row r="79" spans="2:14" ht="15" x14ac:dyDescent="0.25">
      <c r="B79" s="79" t="s">
        <v>317</v>
      </c>
      <c r="C79" s="422">
        <f>'Prototype Controls'!E51</f>
        <v>0.85</v>
      </c>
      <c r="D79" s="422">
        <f>'Prototype Controls'!F51</f>
        <v>0.85</v>
      </c>
      <c r="E79" s="422">
        <f>'Prototype Controls'!G51</f>
        <v>0.85</v>
      </c>
      <c r="F79" s="422">
        <f>'Prototype Controls'!H51</f>
        <v>0.85</v>
      </c>
      <c r="G79" s="422">
        <f>'Prototype Controls'!I51</f>
        <v>0.85</v>
      </c>
      <c r="H79" s="78" t="s">
        <v>413</v>
      </c>
      <c r="M79" s="150"/>
      <c r="N79" s="150"/>
    </row>
    <row r="80" spans="2:14" x14ac:dyDescent="0.25">
      <c r="B80" s="79" t="s">
        <v>198</v>
      </c>
      <c r="C80" s="103">
        <f>MROUND(C77*C79,1)</f>
        <v>624750</v>
      </c>
      <c r="D80" s="103">
        <f t="shared" ref="D80:G80" si="26">MROUND(D77*D79,1)</f>
        <v>110670</v>
      </c>
      <c r="E80" s="103">
        <f t="shared" si="26"/>
        <v>560788</v>
      </c>
      <c r="F80" s="103">
        <f t="shared" si="26"/>
        <v>110670</v>
      </c>
      <c r="G80" s="103">
        <f t="shared" si="26"/>
        <v>560788</v>
      </c>
      <c r="H80" s="78" t="s">
        <v>409</v>
      </c>
      <c r="L80" s="122"/>
    </row>
    <row r="81" spans="2:16" x14ac:dyDescent="0.25">
      <c r="B81" s="117" t="s">
        <v>166</v>
      </c>
      <c r="C81" s="103">
        <f>MROUND(C$75*C$76*C$79*C92,1)</f>
        <v>593513</v>
      </c>
      <c r="D81" s="103">
        <f t="shared" ref="D81:G81" si="27">MROUND(D$75*D$76*D$79*D92,1)</f>
        <v>92225</v>
      </c>
      <c r="E81" s="103">
        <f t="shared" si="27"/>
        <v>517650</v>
      </c>
      <c r="F81" s="103">
        <f t="shared" si="27"/>
        <v>0</v>
      </c>
      <c r="G81" s="103">
        <f t="shared" si="27"/>
        <v>0</v>
      </c>
      <c r="H81" s="78" t="s">
        <v>409</v>
      </c>
      <c r="L81" s="122"/>
    </row>
    <row r="82" spans="2:16" x14ac:dyDescent="0.25">
      <c r="B82" s="117" t="s">
        <v>199</v>
      </c>
      <c r="C82" s="103">
        <f>SUM(C83:C84)</f>
        <v>31238</v>
      </c>
      <c r="D82" s="103">
        <f t="shared" ref="D82" si="28">SUM(D83:D84)</f>
        <v>18445</v>
      </c>
      <c r="E82" s="103">
        <f t="shared" ref="E82" si="29">SUM(E83:E84)</f>
        <v>43138</v>
      </c>
      <c r="F82" s="103">
        <f>SUM(F83:F84)</f>
        <v>110670</v>
      </c>
      <c r="G82" s="103">
        <f t="shared" ref="G82" si="30">SUM(G83:G84)</f>
        <v>560788</v>
      </c>
      <c r="H82" s="78" t="s">
        <v>409</v>
      </c>
      <c r="L82" s="122"/>
    </row>
    <row r="83" spans="2:16" x14ac:dyDescent="0.25">
      <c r="B83" s="95" t="s">
        <v>160</v>
      </c>
      <c r="C83" s="103">
        <f>MROUND(C$75*C$76*C$79*C94,1)</f>
        <v>0</v>
      </c>
      <c r="D83" s="103">
        <f t="shared" ref="D83:G83" si="31">MROUND(D$75*D$76*D$79*D94,1)</f>
        <v>0</v>
      </c>
      <c r="E83" s="103">
        <f t="shared" si="31"/>
        <v>0</v>
      </c>
      <c r="F83" s="103">
        <f t="shared" si="31"/>
        <v>92225</v>
      </c>
      <c r="G83" s="103">
        <f t="shared" si="31"/>
        <v>517650</v>
      </c>
      <c r="L83" s="122"/>
    </row>
    <row r="84" spans="2:16" x14ac:dyDescent="0.25">
      <c r="B84" s="95" t="s">
        <v>162</v>
      </c>
      <c r="C84" s="103">
        <f>MROUND(C$75*C$76*C$79*C95,1)</f>
        <v>31238</v>
      </c>
      <c r="D84" s="103">
        <f t="shared" ref="D84:G84" si="32">MROUND(D$75*D$76*D$79*D95,1)</f>
        <v>18445</v>
      </c>
      <c r="E84" s="103">
        <f t="shared" si="32"/>
        <v>43138</v>
      </c>
      <c r="F84" s="103">
        <f t="shared" si="32"/>
        <v>18445</v>
      </c>
      <c r="G84" s="103">
        <f t="shared" si="32"/>
        <v>43138</v>
      </c>
      <c r="L84" s="122"/>
    </row>
    <row r="85" spans="2:16" x14ac:dyDescent="0.25">
      <c r="B85" s="79" t="s">
        <v>200</v>
      </c>
      <c r="C85" s="270">
        <f>'Prototype Controls'!E57</f>
        <v>7</v>
      </c>
      <c r="D85" s="270">
        <f>'Prototype Controls'!F57</f>
        <v>2.1</v>
      </c>
      <c r="E85" s="270">
        <f>'Prototype Controls'!G57</f>
        <v>4.55</v>
      </c>
      <c r="F85" s="270">
        <f>'Prototype Controls'!H57</f>
        <v>2.1</v>
      </c>
      <c r="G85" s="270">
        <f>'Prototype Controls'!I57</f>
        <v>4.55</v>
      </c>
      <c r="H85" s="78" t="s">
        <v>409</v>
      </c>
    </row>
    <row r="86" spans="2:16" x14ac:dyDescent="0.25">
      <c r="B86" s="79" t="s">
        <v>318</v>
      </c>
      <c r="C86" s="270">
        <f>'Prototype Controls'!E58</f>
        <v>8</v>
      </c>
      <c r="D86" s="270">
        <f>'Prototype Controls'!F58</f>
        <v>2.5</v>
      </c>
      <c r="E86" s="270">
        <f>'Prototype Controls'!G58</f>
        <v>6</v>
      </c>
      <c r="F86" s="270">
        <f>'Prototype Controls'!H58</f>
        <v>2.5</v>
      </c>
      <c r="G86" s="270">
        <f>'Prototype Controls'!I58</f>
        <v>6</v>
      </c>
      <c r="H86" s="130"/>
      <c r="I86" s="130"/>
    </row>
    <row r="87" spans="2:16" x14ac:dyDescent="0.25">
      <c r="B87" s="79" t="s">
        <v>414</v>
      </c>
      <c r="C87" s="446">
        <f>C25</f>
        <v>15</v>
      </c>
      <c r="D87" s="446">
        <f t="shared" ref="D87:G87" si="33">D25</f>
        <v>15</v>
      </c>
      <c r="E87" s="446">
        <f t="shared" si="33"/>
        <v>15</v>
      </c>
      <c r="F87" s="446">
        <f t="shared" si="33"/>
        <v>15</v>
      </c>
      <c r="G87" s="446">
        <f t="shared" si="33"/>
        <v>15</v>
      </c>
      <c r="H87" s="78" t="s">
        <v>320</v>
      </c>
      <c r="L87" s="151"/>
      <c r="M87" s="151"/>
      <c r="N87" s="151"/>
      <c r="O87" s="151"/>
      <c r="P87" s="151"/>
    </row>
    <row r="88" spans="2:16" x14ac:dyDescent="0.25">
      <c r="B88" s="79" t="s">
        <v>415</v>
      </c>
      <c r="C88" s="129">
        <f>C26</f>
        <v>12</v>
      </c>
      <c r="D88" s="129">
        <f t="shared" ref="D88:G88" si="34">D26</f>
        <v>12</v>
      </c>
      <c r="E88" s="129">
        <f t="shared" si="34"/>
        <v>12</v>
      </c>
      <c r="F88" s="129">
        <f t="shared" si="34"/>
        <v>12</v>
      </c>
      <c r="G88" s="129">
        <f t="shared" si="34"/>
        <v>12</v>
      </c>
      <c r="H88" s="78" t="s">
        <v>320</v>
      </c>
    </row>
    <row r="89" spans="2:16" x14ac:dyDescent="0.25">
      <c r="B89" s="79" t="s">
        <v>201</v>
      </c>
      <c r="C89" s="103">
        <f>((C91-1)*C88)+C87</f>
        <v>243</v>
      </c>
      <c r="D89" s="103">
        <f t="shared" ref="D89:G89" si="35">((D91-1)*D88)+D87</f>
        <v>75</v>
      </c>
      <c r="E89" s="103">
        <f t="shared" si="35"/>
        <v>159</v>
      </c>
      <c r="F89" s="103">
        <f>((F91-1)*F88)+F87</f>
        <v>75</v>
      </c>
      <c r="G89" s="103">
        <f t="shared" si="35"/>
        <v>159</v>
      </c>
      <c r="H89" s="78" t="s">
        <v>320</v>
      </c>
    </row>
    <row r="90" spans="2:16" x14ac:dyDescent="0.25">
      <c r="B90" s="79" t="s">
        <v>321</v>
      </c>
      <c r="C90" s="422">
        <f>'Prototype Controls'!E61</f>
        <v>250</v>
      </c>
      <c r="D90" s="422">
        <f>'Prototype Controls'!F61</f>
        <v>100</v>
      </c>
      <c r="E90" s="422">
        <f>'Prototype Controls'!G61</f>
        <v>160</v>
      </c>
      <c r="F90" s="422">
        <f>'Prototype Controls'!H61</f>
        <v>100</v>
      </c>
      <c r="G90" s="422">
        <f>'Prototype Controls'!I61</f>
        <v>160</v>
      </c>
      <c r="H90" s="78" t="s">
        <v>320</v>
      </c>
      <c r="L90" s="122"/>
      <c r="M90" s="122"/>
      <c r="N90" s="122"/>
      <c r="O90" s="122"/>
      <c r="P90" s="122"/>
    </row>
    <row r="91" spans="2:16" x14ac:dyDescent="0.25">
      <c r="B91" s="79" t="s">
        <v>203</v>
      </c>
      <c r="C91" s="50">
        <f>'Prototype Controls'!E59</f>
        <v>20</v>
      </c>
      <c r="D91" s="50">
        <f>'Prototype Controls'!F59</f>
        <v>6</v>
      </c>
      <c r="E91" s="50">
        <f>'Prototype Controls'!G59</f>
        <v>13</v>
      </c>
      <c r="F91" s="50">
        <f>'Prototype Controls'!H59</f>
        <v>6</v>
      </c>
      <c r="G91" s="50">
        <f>'Prototype Controls'!I59</f>
        <v>13</v>
      </c>
      <c r="H91" s="78" t="s">
        <v>319</v>
      </c>
      <c r="L91" s="122"/>
    </row>
    <row r="92" spans="2:16" x14ac:dyDescent="0.25">
      <c r="B92" s="117" t="s">
        <v>166</v>
      </c>
      <c r="C92" s="345">
        <f>'Prototype Controls'!E63</f>
        <v>19</v>
      </c>
      <c r="D92" s="345">
        <f>'Prototype Controls'!F63</f>
        <v>5</v>
      </c>
      <c r="E92" s="345">
        <f>'Prototype Controls'!G63</f>
        <v>12</v>
      </c>
      <c r="F92" s="345">
        <f>'Prototype Controls'!H63</f>
        <v>0</v>
      </c>
      <c r="G92" s="345">
        <f>'Prototype Controls'!I63</f>
        <v>0</v>
      </c>
      <c r="H92" s="78" t="s">
        <v>319</v>
      </c>
      <c r="L92" s="133"/>
      <c r="M92" s="133"/>
      <c r="N92" s="133"/>
    </row>
    <row r="93" spans="2:16" x14ac:dyDescent="0.25">
      <c r="B93" s="117" t="s">
        <v>199</v>
      </c>
      <c r="C93" s="345">
        <f>'Prototype Controls'!E64</f>
        <v>1</v>
      </c>
      <c r="D93" s="345">
        <f>'Prototype Controls'!F64</f>
        <v>1</v>
      </c>
      <c r="E93" s="345">
        <f>'Prototype Controls'!G64</f>
        <v>1</v>
      </c>
      <c r="F93" s="345">
        <f>'Prototype Controls'!H64</f>
        <v>6</v>
      </c>
      <c r="G93" s="345">
        <f>'Prototype Controls'!I64</f>
        <v>13</v>
      </c>
      <c r="H93" s="78" t="s">
        <v>319</v>
      </c>
      <c r="L93" s="122"/>
    </row>
    <row r="94" spans="2:16" x14ac:dyDescent="0.25">
      <c r="B94" s="95" t="s">
        <v>160</v>
      </c>
      <c r="C94" s="345">
        <f>'Prototype Controls'!E65</f>
        <v>0</v>
      </c>
      <c r="D94" s="345">
        <f>'Prototype Controls'!F65</f>
        <v>0</v>
      </c>
      <c r="E94" s="345">
        <f>'Prototype Controls'!G65</f>
        <v>0</v>
      </c>
      <c r="F94" s="345">
        <f>'Prototype Controls'!H65</f>
        <v>5</v>
      </c>
      <c r="G94" s="345">
        <f>'Prototype Controls'!I65</f>
        <v>12</v>
      </c>
      <c r="H94" s="78" t="s">
        <v>319</v>
      </c>
      <c r="L94" s="122"/>
    </row>
    <row r="95" spans="2:16" x14ac:dyDescent="0.25">
      <c r="B95" s="95" t="s">
        <v>162</v>
      </c>
      <c r="C95" s="345">
        <f>'Prototype Controls'!E66</f>
        <v>1</v>
      </c>
      <c r="D95" s="345">
        <f>'Prototype Controls'!F66</f>
        <v>1</v>
      </c>
      <c r="E95" s="345">
        <f>'Prototype Controls'!G66</f>
        <v>1</v>
      </c>
      <c r="F95" s="345">
        <f>'Prototype Controls'!H66</f>
        <v>1</v>
      </c>
      <c r="G95" s="345">
        <f>'Prototype Controls'!I66</f>
        <v>1</v>
      </c>
      <c r="H95" s="78" t="s">
        <v>319</v>
      </c>
      <c r="L95" s="122"/>
    </row>
    <row r="96" spans="2:16" x14ac:dyDescent="0.25">
      <c r="B96" s="79" t="s">
        <v>204</v>
      </c>
      <c r="C96" s="103">
        <f>ROUNDUP(C129/'Prototype Inputs'!C73,0)</f>
        <v>8</v>
      </c>
      <c r="D96" s="103">
        <f>ROUNDUP(D129/'Prototype Inputs'!D73,0)</f>
        <v>3</v>
      </c>
      <c r="E96" s="103">
        <f>ROUNDUP(E129/'Prototype Inputs'!E73,0)</f>
        <v>5</v>
      </c>
      <c r="F96" s="103">
        <f>ROUNDUP(F129/'Prototype Inputs'!F73,0)</f>
        <v>4</v>
      </c>
      <c r="G96" s="103">
        <f>ROUNDUP(G129/'Prototype Inputs'!G73,0)</f>
        <v>7</v>
      </c>
      <c r="H96" s="78" t="s">
        <v>319</v>
      </c>
      <c r="L96" s="122"/>
    </row>
    <row r="97" spans="2:12" x14ac:dyDescent="0.25">
      <c r="B97" s="1" t="s">
        <v>323</v>
      </c>
      <c r="C97" s="2"/>
      <c r="D97" s="2"/>
      <c r="E97" s="2"/>
      <c r="F97" s="2"/>
      <c r="G97" s="2"/>
    </row>
    <row r="98" spans="2:12" x14ac:dyDescent="0.25">
      <c r="B98" s="83" t="s">
        <v>206</v>
      </c>
      <c r="C98" s="142">
        <f>ROUNDDOWN((C77-(C73*C93))/C103,0)</f>
        <v>879</v>
      </c>
      <c r="D98" s="142">
        <f t="shared" ref="D98" si="36">ROUNDDOWN((D77-(D73*D93))/D103,0)</f>
        <v>136</v>
      </c>
      <c r="E98" s="142">
        <f>ROUNDDOWN((E77-(E73*E93))/E103,0)</f>
        <v>766</v>
      </c>
      <c r="F98" s="142" t="s">
        <v>324</v>
      </c>
      <c r="G98" s="142" t="s">
        <v>324</v>
      </c>
      <c r="H98" s="78" t="s">
        <v>416</v>
      </c>
      <c r="L98" s="122"/>
    </row>
    <row r="99" spans="2:12" x14ac:dyDescent="0.25">
      <c r="B99" s="117" t="s">
        <v>146</v>
      </c>
      <c r="C99" s="442">
        <f>'Prototype Controls'!E69</f>
        <v>0.3</v>
      </c>
      <c r="D99" s="442">
        <f>'Prototype Controls'!F69</f>
        <v>0.3</v>
      </c>
      <c r="E99" s="442">
        <f>'Prototype Controls'!G69</f>
        <v>0.3</v>
      </c>
      <c r="F99" s="442" t="str">
        <f>'Prototype Controls'!H69</f>
        <v>n/a</v>
      </c>
      <c r="G99" s="442" t="str">
        <f>'Prototype Controls'!I69</f>
        <v>n/a</v>
      </c>
      <c r="H99" s="78" t="s">
        <v>417</v>
      </c>
      <c r="L99" s="151"/>
    </row>
    <row r="100" spans="2:12" x14ac:dyDescent="0.25">
      <c r="B100" s="117" t="s">
        <v>148</v>
      </c>
      <c r="C100" s="442">
        <f>'Prototype Controls'!E70</f>
        <v>0.6</v>
      </c>
      <c r="D100" s="442">
        <f>'Prototype Controls'!F70</f>
        <v>0.6</v>
      </c>
      <c r="E100" s="442">
        <f>'Prototype Controls'!G70</f>
        <v>0.6</v>
      </c>
      <c r="F100" s="442" t="str">
        <f>'Prototype Controls'!H70</f>
        <v>n/a</v>
      </c>
      <c r="G100" s="442" t="str">
        <f>'Prototype Controls'!I70</f>
        <v>n/a</v>
      </c>
      <c r="H100" s="78" t="s">
        <v>417</v>
      </c>
    </row>
    <row r="101" spans="2:12" x14ac:dyDescent="0.25">
      <c r="B101" s="117" t="s">
        <v>149</v>
      </c>
      <c r="C101" s="442">
        <f>'Prototype Controls'!E71</f>
        <v>0.1</v>
      </c>
      <c r="D101" s="442">
        <f>'Prototype Controls'!F71</f>
        <v>0.1</v>
      </c>
      <c r="E101" s="442">
        <f>'Prototype Controls'!G71</f>
        <v>0.1</v>
      </c>
      <c r="F101" s="442" t="str">
        <f>'Prototype Controls'!H71</f>
        <v>n/a</v>
      </c>
      <c r="G101" s="442" t="str">
        <f>'Prototype Controls'!I71</f>
        <v>n/a</v>
      </c>
      <c r="H101" s="124" t="s">
        <v>417</v>
      </c>
      <c r="I101" s="124"/>
    </row>
    <row r="102" spans="2:12" x14ac:dyDescent="0.25">
      <c r="B102" s="117" t="s">
        <v>150</v>
      </c>
      <c r="C102" s="442">
        <f>'Prototype Controls'!E72</f>
        <v>0</v>
      </c>
      <c r="D102" s="442">
        <f>'Prototype Controls'!F72</f>
        <v>0</v>
      </c>
      <c r="E102" s="442">
        <f>'Prototype Controls'!G72</f>
        <v>0</v>
      </c>
      <c r="F102" s="442" t="str">
        <f>'Prototype Controls'!H72</f>
        <v>n/a</v>
      </c>
      <c r="G102" s="442" t="str">
        <f>'Prototype Controls'!I72</f>
        <v>n/a</v>
      </c>
      <c r="H102" s="124" t="s">
        <v>417</v>
      </c>
      <c r="I102" s="124"/>
    </row>
    <row r="103" spans="2:12" x14ac:dyDescent="0.25">
      <c r="B103" s="141" t="s">
        <v>418</v>
      </c>
      <c r="C103" s="142">
        <f>SUMPRODUCT(C104:C107,C99:C102)</f>
        <v>794.11764705882354</v>
      </c>
      <c r="D103" s="142">
        <f>SUMPRODUCT(D104:D107,D99:D102)</f>
        <v>794.11764705882354</v>
      </c>
      <c r="E103" s="142">
        <f>SUMPRODUCT(E104:E107,E99:E102)</f>
        <v>794.11764705882354</v>
      </c>
      <c r="F103" s="142" t="s">
        <v>324</v>
      </c>
      <c r="G103" s="142" t="s">
        <v>324</v>
      </c>
      <c r="H103" s="78" t="s">
        <v>409</v>
      </c>
    </row>
    <row r="104" spans="2:12" x14ac:dyDescent="0.25">
      <c r="B104" s="117" t="s">
        <v>146</v>
      </c>
      <c r="C104" s="143">
        <f>C109/C79</f>
        <v>647.05882352941182</v>
      </c>
      <c r="D104" s="143">
        <f t="shared" ref="D104:E104" si="37">D109/D79</f>
        <v>647.05882352941182</v>
      </c>
      <c r="E104" s="143">
        <f t="shared" si="37"/>
        <v>647.05882352941182</v>
      </c>
      <c r="F104" s="143" t="s">
        <v>324</v>
      </c>
      <c r="G104" s="143" t="s">
        <v>324</v>
      </c>
      <c r="H104" s="78" t="s">
        <v>409</v>
      </c>
    </row>
    <row r="105" spans="2:12" x14ac:dyDescent="0.25">
      <c r="B105" s="117" t="s">
        <v>148</v>
      </c>
      <c r="C105" s="143">
        <f>C110/C79</f>
        <v>823.52941176470586</v>
      </c>
      <c r="D105" s="143">
        <f t="shared" ref="D105:E105" si="38">D110/D79</f>
        <v>823.52941176470586</v>
      </c>
      <c r="E105" s="143">
        <f t="shared" si="38"/>
        <v>823.52941176470586</v>
      </c>
      <c r="F105" s="143" t="s">
        <v>324</v>
      </c>
      <c r="G105" s="143" t="s">
        <v>324</v>
      </c>
      <c r="H105" s="78" t="s">
        <v>409</v>
      </c>
    </row>
    <row r="106" spans="2:12" x14ac:dyDescent="0.25">
      <c r="B106" s="117" t="s">
        <v>149</v>
      </c>
      <c r="C106" s="143">
        <f>C111/C79</f>
        <v>1058.8235294117646</v>
      </c>
      <c r="D106" s="143">
        <f t="shared" ref="D106:E106" si="39">D111/D79</f>
        <v>1058.8235294117646</v>
      </c>
      <c r="E106" s="143">
        <f t="shared" si="39"/>
        <v>1058.8235294117646</v>
      </c>
      <c r="F106" s="143" t="s">
        <v>324</v>
      </c>
      <c r="G106" s="143" t="s">
        <v>324</v>
      </c>
      <c r="H106" s="78" t="s">
        <v>409</v>
      </c>
    </row>
    <row r="107" spans="2:12" x14ac:dyDescent="0.25">
      <c r="B107" s="117" t="s">
        <v>150</v>
      </c>
      <c r="C107" s="143">
        <f>C112/C79</f>
        <v>1411.7647058823529</v>
      </c>
      <c r="D107" s="143">
        <f t="shared" ref="D107:E107" si="40">D112/D79</f>
        <v>1411.7647058823529</v>
      </c>
      <c r="E107" s="143">
        <f t="shared" si="40"/>
        <v>1411.7647058823529</v>
      </c>
      <c r="F107" s="143" t="s">
        <v>324</v>
      </c>
      <c r="G107" s="143" t="s">
        <v>324</v>
      </c>
      <c r="H107" s="78" t="s">
        <v>409</v>
      </c>
    </row>
    <row r="108" spans="2:12" x14ac:dyDescent="0.25">
      <c r="B108" s="141" t="s">
        <v>325</v>
      </c>
      <c r="C108" s="142">
        <f>SUMPRODUCT(C109:C112,C99:C102)</f>
        <v>675</v>
      </c>
      <c r="D108" s="142">
        <f>SUMPRODUCT(D109:D112,D99:D102)</f>
        <v>675</v>
      </c>
      <c r="E108" s="142">
        <f>SUMPRODUCT(E109:E112,E99:E102)</f>
        <v>675</v>
      </c>
      <c r="F108" s="142" t="s">
        <v>324</v>
      </c>
      <c r="G108" s="142" t="s">
        <v>324</v>
      </c>
      <c r="H108" s="78" t="s">
        <v>409</v>
      </c>
    </row>
    <row r="109" spans="2:12" x14ac:dyDescent="0.25">
      <c r="B109" s="117" t="s">
        <v>146</v>
      </c>
      <c r="C109" s="346">
        <f>'Prototype Controls'!E74</f>
        <v>550</v>
      </c>
      <c r="D109" s="346">
        <f>'Prototype Controls'!F74</f>
        <v>550</v>
      </c>
      <c r="E109" s="346">
        <f>'Prototype Controls'!G74</f>
        <v>550</v>
      </c>
      <c r="F109" s="346" t="str">
        <f>'Prototype Controls'!H74</f>
        <v>n/a</v>
      </c>
      <c r="G109" s="346" t="str">
        <f>'Prototype Controls'!I74</f>
        <v>n/a</v>
      </c>
      <c r="H109" s="78" t="s">
        <v>409</v>
      </c>
    </row>
    <row r="110" spans="2:12" x14ac:dyDescent="0.25">
      <c r="B110" s="117" t="s">
        <v>148</v>
      </c>
      <c r="C110" s="346">
        <f>'Prototype Controls'!E75</f>
        <v>700</v>
      </c>
      <c r="D110" s="346">
        <f>'Prototype Controls'!F75</f>
        <v>700</v>
      </c>
      <c r="E110" s="346">
        <f>'Prototype Controls'!G75</f>
        <v>700</v>
      </c>
      <c r="F110" s="346" t="str">
        <f>'Prototype Controls'!H75</f>
        <v>n/a</v>
      </c>
      <c r="G110" s="346" t="str">
        <f>'Prototype Controls'!I75</f>
        <v>n/a</v>
      </c>
      <c r="H110" s="78" t="s">
        <v>409</v>
      </c>
    </row>
    <row r="111" spans="2:12" x14ac:dyDescent="0.25">
      <c r="B111" s="117" t="s">
        <v>149</v>
      </c>
      <c r="C111" s="346">
        <f>'Prototype Controls'!E76</f>
        <v>900</v>
      </c>
      <c r="D111" s="346">
        <f>'Prototype Controls'!F76</f>
        <v>900</v>
      </c>
      <c r="E111" s="346">
        <f>'Prototype Controls'!G76</f>
        <v>900</v>
      </c>
      <c r="F111" s="346" t="str">
        <f>'Prototype Controls'!H76</f>
        <v>n/a</v>
      </c>
      <c r="G111" s="346" t="str">
        <f>'Prototype Controls'!I76</f>
        <v>n/a</v>
      </c>
      <c r="H111" s="78" t="s">
        <v>409</v>
      </c>
    </row>
    <row r="112" spans="2:12" x14ac:dyDescent="0.25">
      <c r="B112" s="117" t="s">
        <v>150</v>
      </c>
      <c r="C112" s="346">
        <f>'Prototype Controls'!E77</f>
        <v>1200</v>
      </c>
      <c r="D112" s="346">
        <f>'Prototype Controls'!F77</f>
        <v>1200</v>
      </c>
      <c r="E112" s="346">
        <f>'Prototype Controls'!G77</f>
        <v>1200</v>
      </c>
      <c r="F112" s="346" t="str">
        <f>'Prototype Controls'!H77</f>
        <v>n/a</v>
      </c>
      <c r="G112" s="346" t="str">
        <f>'Prototype Controls'!I77</f>
        <v>n/a</v>
      </c>
      <c r="H112" s="78" t="s">
        <v>409</v>
      </c>
    </row>
    <row r="113" spans="2:10" x14ac:dyDescent="0.25">
      <c r="B113" s="1" t="s">
        <v>156</v>
      </c>
      <c r="C113" s="2"/>
      <c r="D113" s="2"/>
      <c r="E113" s="2"/>
      <c r="F113" s="2"/>
      <c r="G113" s="2"/>
    </row>
    <row r="114" spans="2:10" x14ac:dyDescent="0.25">
      <c r="B114" s="79" t="s">
        <v>326</v>
      </c>
      <c r="C114" s="422" t="str">
        <f>'Prototype Controls'!E79</f>
        <v>Structured</v>
      </c>
      <c r="D114" s="422" t="str">
        <f>'Prototype Controls'!F79</f>
        <v>Structured</v>
      </c>
      <c r="E114" s="422" t="str">
        <f>'Prototype Controls'!G79</f>
        <v>Structured</v>
      </c>
      <c r="F114" s="422" t="str">
        <f>'Prototype Controls'!H79</f>
        <v>Structured</v>
      </c>
      <c r="G114" s="422" t="str">
        <f>'Prototype Controls'!I79</f>
        <v>Structured</v>
      </c>
      <c r="H114" s="78" t="s">
        <v>328</v>
      </c>
      <c r="J114" s="124"/>
    </row>
    <row r="115" spans="2:10" x14ac:dyDescent="0.25">
      <c r="B115" s="83" t="s">
        <v>419</v>
      </c>
      <c r="C115" s="126"/>
      <c r="D115" s="126"/>
      <c r="E115" s="126"/>
      <c r="F115" s="126"/>
      <c r="G115" s="126"/>
      <c r="J115" s="124"/>
    </row>
    <row r="116" spans="2:10" x14ac:dyDescent="0.25">
      <c r="B116" s="117" t="s">
        <v>166</v>
      </c>
      <c r="C116" s="423">
        <f>'Prototype Controls'!E81</f>
        <v>0.96499999999999997</v>
      </c>
      <c r="D116" s="423">
        <f>'Prototype Controls'!F81</f>
        <v>0.87</v>
      </c>
      <c r="E116" s="423">
        <f>'Prototype Controls'!G81</f>
        <v>0.94499999999999995</v>
      </c>
      <c r="F116" s="423" t="str">
        <f>'Prototype Controls'!H81</f>
        <v>n/a</v>
      </c>
      <c r="G116" s="423" t="str">
        <f>'Prototype Controls'!I81</f>
        <v>n/a</v>
      </c>
      <c r="H116" s="78" t="s">
        <v>420</v>
      </c>
    </row>
    <row r="117" spans="2:10" x14ac:dyDescent="0.25">
      <c r="B117" s="117" t="s">
        <v>162</v>
      </c>
      <c r="C117" s="423">
        <f>'Prototype Controls'!E82</f>
        <v>1</v>
      </c>
      <c r="D117" s="423">
        <f>'Prototype Controls'!F82</f>
        <v>1</v>
      </c>
      <c r="E117" s="423">
        <f>'Prototype Controls'!G82</f>
        <v>1</v>
      </c>
      <c r="F117" s="423">
        <f>'Prototype Controls'!H82</f>
        <v>1</v>
      </c>
      <c r="G117" s="423">
        <f>'Prototype Controls'!I82</f>
        <v>1</v>
      </c>
      <c r="H117" s="78" t="s">
        <v>421</v>
      </c>
    </row>
    <row r="118" spans="2:10" x14ac:dyDescent="0.25">
      <c r="B118" s="117" t="s">
        <v>160</v>
      </c>
      <c r="C118" s="423" t="str">
        <f>'Prototype Controls'!E83</f>
        <v>n/a</v>
      </c>
      <c r="D118" s="423" t="str">
        <f>'Prototype Controls'!F83</f>
        <v>n/a</v>
      </c>
      <c r="E118" s="423" t="str">
        <f>'Prototype Controls'!G83</f>
        <v>n/a</v>
      </c>
      <c r="F118" s="423">
        <f>'Prototype Controls'!H83</f>
        <v>2</v>
      </c>
      <c r="G118" s="423">
        <f>'Prototype Controls'!I83</f>
        <v>2</v>
      </c>
      <c r="H118" s="78" t="s">
        <v>421</v>
      </c>
    </row>
    <row r="119" spans="2:10" x14ac:dyDescent="0.25">
      <c r="B119" s="141" t="s">
        <v>364</v>
      </c>
      <c r="C119" s="142">
        <f>SUM(C120:C121)</f>
        <v>879</v>
      </c>
      <c r="D119" s="142">
        <f>SUM(D120:D121)</f>
        <v>136</v>
      </c>
      <c r="E119" s="142">
        <f>SUM(E120:E121)</f>
        <v>767</v>
      </c>
      <c r="F119" s="142">
        <f>SUM(F120:F121)</f>
        <v>202</v>
      </c>
      <c r="G119" s="142">
        <f t="shared" ref="G119" si="41">SUM(G120:G121)</f>
        <v>1078</v>
      </c>
      <c r="H119" s="78" t="s">
        <v>422</v>
      </c>
    </row>
    <row r="120" spans="2:10" x14ac:dyDescent="0.25">
      <c r="B120" s="117" t="s">
        <v>166</v>
      </c>
      <c r="C120" s="143">
        <f>IFERROR(MROUND(C98*C116,1),"n/a")</f>
        <v>848</v>
      </c>
      <c r="D120" s="143">
        <f t="shared" ref="D120:G120" si="42">IFERROR(MROUND(D98*D116,1),"n/a")</f>
        <v>118</v>
      </c>
      <c r="E120" s="143">
        <f>IFERROR(MROUND(E98*E116,1),"n/a")</f>
        <v>724</v>
      </c>
      <c r="F120" s="143" t="str">
        <f t="shared" ref="F120" si="43">IFERROR(MROUND(F98*F116,1),"n/a")</f>
        <v>n/a</v>
      </c>
      <c r="G120" s="143" t="str">
        <f t="shared" si="42"/>
        <v>n/a</v>
      </c>
      <c r="H120" s="78" t="s">
        <v>422</v>
      </c>
    </row>
    <row r="121" spans="2:10" x14ac:dyDescent="0.25">
      <c r="B121" s="117" t="s">
        <v>199</v>
      </c>
      <c r="C121" s="122">
        <f>SUM(C122:C123)</f>
        <v>31</v>
      </c>
      <c r="D121" s="122">
        <f t="shared" ref="D121:E121" si="44">SUM(D122:D123)</f>
        <v>18</v>
      </c>
      <c r="E121" s="122">
        <f t="shared" si="44"/>
        <v>43</v>
      </c>
      <c r="F121" s="122">
        <f>SUM(F122:F123)</f>
        <v>202</v>
      </c>
      <c r="G121" s="122">
        <f>SUM(G122:G123)</f>
        <v>1078</v>
      </c>
      <c r="H121" s="78" t="s">
        <v>422</v>
      </c>
    </row>
    <row r="122" spans="2:10" x14ac:dyDescent="0.25">
      <c r="B122" s="95" t="s">
        <v>162</v>
      </c>
      <c r="C122" s="103">
        <f>MROUND('Prototype Inputs'!C84/1000*C117,1)</f>
        <v>31</v>
      </c>
      <c r="D122" s="103">
        <f>MROUND('Prototype Inputs'!D84/1000*D117,1)</f>
        <v>18</v>
      </c>
      <c r="E122" s="103">
        <f>MROUND('Prototype Inputs'!E84/1000*E117,1)</f>
        <v>43</v>
      </c>
      <c r="F122" s="103">
        <f>MROUND('Prototype Inputs'!F84/1000*F117,1)</f>
        <v>18</v>
      </c>
      <c r="G122" s="103">
        <f>MROUND('Prototype Inputs'!G84/1000*G117,1)</f>
        <v>43</v>
      </c>
      <c r="H122" s="78" t="s">
        <v>422</v>
      </c>
    </row>
    <row r="123" spans="2:10" x14ac:dyDescent="0.25">
      <c r="B123" s="95" t="s">
        <v>160</v>
      </c>
      <c r="C123" s="103" t="str">
        <f>IFERROR(MROUND('Prototype Inputs'!C83/1000*C118,1),"n/a")</f>
        <v>n/a</v>
      </c>
      <c r="D123" s="103" t="str">
        <f>IFERROR(MROUND('Prototype Inputs'!D83/1000*D118,1),"n/a")</f>
        <v>n/a</v>
      </c>
      <c r="E123" s="103" t="str">
        <f>IFERROR(MROUND('Prototype Inputs'!E83/1000*E118,1),"n/a")</f>
        <v>n/a</v>
      </c>
      <c r="F123" s="103">
        <f>IFERROR(MROUND('Prototype Inputs'!F83/1000*F118,1),"n/a")</f>
        <v>184</v>
      </c>
      <c r="G123" s="103">
        <f>IFERROR(MROUND('Prototype Inputs'!G83/1000*G118,1),"n/a")</f>
        <v>1035</v>
      </c>
      <c r="H123" s="78" t="s">
        <v>422</v>
      </c>
    </row>
    <row r="124" spans="2:10" x14ac:dyDescent="0.25">
      <c r="B124" s="117" t="s">
        <v>338</v>
      </c>
      <c r="C124" s="143">
        <f>IF(OR(C114=$B124,C114="Mixed"),IF(ROUNDDOWN((C76-(C76*(SUM(C74:C75))))/C127,0)&gt;C119,C119,ROUNDDOWN((C76-(C76*(SUM(C74:C75))))/C127,0)),0)</f>
        <v>0</v>
      </c>
      <c r="D124" s="143">
        <f t="shared" ref="D124:G124" si="45">IF(OR(D114=$B124,D114="Mixed"),IF(ROUNDDOWN((D76-(D76*(SUM(D74:D75))))/D127,0)&gt;D119,D119,ROUNDDOWN((D76-(D76*(SUM(D74:D75))))/D127,0)),0)</f>
        <v>0</v>
      </c>
      <c r="E124" s="143">
        <f t="shared" si="45"/>
        <v>0</v>
      </c>
      <c r="F124" s="143">
        <f t="shared" si="45"/>
        <v>0</v>
      </c>
      <c r="G124" s="143">
        <f t="shared" si="45"/>
        <v>0</v>
      </c>
    </row>
    <row r="125" spans="2:10" x14ac:dyDescent="0.25">
      <c r="B125" s="117" t="s">
        <v>327</v>
      </c>
      <c r="C125" s="103">
        <f>IF(C114=$B$125,C119,C119-C124)</f>
        <v>879</v>
      </c>
      <c r="D125" s="103">
        <f t="shared" ref="D125:G125" si="46">IF(D114=$B$125,D119,D119-D124)</f>
        <v>136</v>
      </c>
      <c r="E125" s="103">
        <f>IF(E114=$B$125,E119,E119-E124)</f>
        <v>767</v>
      </c>
      <c r="F125" s="103">
        <f t="shared" si="46"/>
        <v>202</v>
      </c>
      <c r="G125" s="103">
        <f t="shared" si="46"/>
        <v>1078</v>
      </c>
    </row>
    <row r="126" spans="2:10" x14ac:dyDescent="0.25">
      <c r="B126" s="79" t="s">
        <v>423</v>
      </c>
    </row>
    <row r="127" spans="2:10" x14ac:dyDescent="0.25">
      <c r="B127" s="117" t="s">
        <v>338</v>
      </c>
      <c r="C127" s="78">
        <f>C65</f>
        <v>300</v>
      </c>
      <c r="D127" s="78">
        <f t="shared" ref="D127:G127" si="47">D65</f>
        <v>300</v>
      </c>
      <c r="E127" s="78">
        <f t="shared" si="47"/>
        <v>300</v>
      </c>
      <c r="F127" s="78">
        <f t="shared" si="47"/>
        <v>300</v>
      </c>
      <c r="G127" s="78">
        <f t="shared" si="47"/>
        <v>300</v>
      </c>
      <c r="H127" s="78" t="s">
        <v>409</v>
      </c>
    </row>
    <row r="128" spans="2:10" x14ac:dyDescent="0.25">
      <c r="B128" s="117" t="s">
        <v>327</v>
      </c>
      <c r="C128" s="78">
        <f>C66</f>
        <v>325</v>
      </c>
      <c r="D128" s="78">
        <f t="shared" ref="D128:G128" si="48">D66</f>
        <v>325</v>
      </c>
      <c r="E128" s="78">
        <f t="shared" si="48"/>
        <v>325</v>
      </c>
      <c r="F128" s="78">
        <f t="shared" si="48"/>
        <v>325</v>
      </c>
      <c r="G128" s="78">
        <f t="shared" si="48"/>
        <v>325</v>
      </c>
      <c r="H128" s="78" t="s">
        <v>409</v>
      </c>
    </row>
    <row r="129" spans="2:10" ht="14.4" thickBot="1" x14ac:dyDescent="0.3">
      <c r="B129" s="145" t="s">
        <v>424</v>
      </c>
      <c r="C129" s="146">
        <f>(C125*C128)</f>
        <v>285675</v>
      </c>
      <c r="D129" s="146">
        <f t="shared" ref="D129:G129" si="49">(D125*D128)</f>
        <v>44200</v>
      </c>
      <c r="E129" s="146">
        <f t="shared" si="49"/>
        <v>249275</v>
      </c>
      <c r="F129" s="146">
        <f t="shared" si="49"/>
        <v>65650</v>
      </c>
      <c r="G129" s="146">
        <f t="shared" si="49"/>
        <v>350350</v>
      </c>
      <c r="H129" s="84" t="s">
        <v>409</v>
      </c>
    </row>
    <row r="130" spans="2:10" x14ac:dyDescent="0.25">
      <c r="B130" s="79"/>
      <c r="C130" s="143"/>
      <c r="D130" s="143"/>
      <c r="E130" s="143"/>
      <c r="F130" s="143"/>
      <c r="G130" s="143"/>
    </row>
    <row r="133" spans="2:10" ht="17.399999999999999" x14ac:dyDescent="0.3">
      <c r="B133" s="138" t="s">
        <v>142</v>
      </c>
      <c r="C133" s="122"/>
      <c r="D133" s="122"/>
      <c r="E133" s="122"/>
      <c r="F133" s="122"/>
      <c r="G133" s="122"/>
    </row>
    <row r="134" spans="2:10" ht="14.4" thickBot="1" x14ac:dyDescent="0.3">
      <c r="B134" s="83"/>
    </row>
    <row r="135" spans="2:10" x14ac:dyDescent="0.25">
      <c r="B135" s="139" t="s">
        <v>10</v>
      </c>
      <c r="C135" s="140" t="s">
        <v>186</v>
      </c>
      <c r="D135" s="140" t="s">
        <v>187</v>
      </c>
      <c r="E135" s="140" t="s">
        <v>188</v>
      </c>
      <c r="F135" s="140" t="s">
        <v>189</v>
      </c>
      <c r="G135" s="140" t="s">
        <v>190</v>
      </c>
      <c r="H135" s="140" t="s">
        <v>145</v>
      </c>
    </row>
    <row r="136" spans="2:10" x14ac:dyDescent="0.25">
      <c r="B136" s="79" t="s">
        <v>313</v>
      </c>
      <c r="C136" s="441" t="str">
        <f>'Prototype Controls'!M5</f>
        <v>Urban Core</v>
      </c>
      <c r="D136" s="441" t="str">
        <f>'Prototype Controls'!N5</f>
        <v>Mixed-Use Residential Mid-rise</v>
      </c>
      <c r="E136" s="441" t="str">
        <f>'Prototype Controls'!O5</f>
        <v>Mixed-use High-rise</v>
      </c>
      <c r="F136" s="441" t="str">
        <f>'Prototype Controls'!P5</f>
        <v>Mixed-Use Office Mid-rise</v>
      </c>
      <c r="G136" s="441" t="str">
        <f>'Prototype Controls'!Q5</f>
        <v>Medical Office High-rise</v>
      </c>
    </row>
    <row r="137" spans="2:10" x14ac:dyDescent="0.25">
      <c r="B137" s="79" t="s">
        <v>192</v>
      </c>
      <c r="C137" s="197">
        <f>C140*C139</f>
        <v>36750</v>
      </c>
      <c r="D137" s="197">
        <f t="shared" ref="D137:G137" si="50">D140*D139</f>
        <v>34100</v>
      </c>
      <c r="E137" s="197">
        <f t="shared" si="50"/>
        <v>50750</v>
      </c>
      <c r="F137" s="197">
        <f t="shared" si="50"/>
        <v>34100</v>
      </c>
      <c r="G137" s="197">
        <f t="shared" si="50"/>
        <v>50750</v>
      </c>
      <c r="H137" s="78" t="s">
        <v>409</v>
      </c>
      <c r="J137" s="83"/>
    </row>
    <row r="138" spans="2:10" x14ac:dyDescent="0.25">
      <c r="B138" s="79" t="s">
        <v>410</v>
      </c>
      <c r="C138" s="48">
        <f>'Model Controls'!$K$42+'Model Controls'!$K$85+'Site Calcs'!$C$19</f>
        <v>0.1</v>
      </c>
      <c r="D138" s="48">
        <f>'Model Controls'!$K$42+'Model Controls'!$K$85+'Site Calcs'!$C$19</f>
        <v>0.1</v>
      </c>
      <c r="E138" s="48">
        <f>'Model Controls'!$K$42+'Model Controls'!$K$85+'Site Calcs'!$C$19</f>
        <v>0.1</v>
      </c>
      <c r="F138" s="48">
        <f>'Model Controls'!$K$42+'Model Controls'!$K$85+'Site Calcs'!$C$19</f>
        <v>0.1</v>
      </c>
      <c r="G138" s="48">
        <f>'Model Controls'!$K$42+'Model Controls'!$K$85+'Site Calcs'!$C$19</f>
        <v>0.1</v>
      </c>
      <c r="H138" s="78" t="s">
        <v>411</v>
      </c>
      <c r="J138" s="83"/>
    </row>
    <row r="139" spans="2:10" x14ac:dyDescent="0.25">
      <c r="B139" s="79" t="s">
        <v>412</v>
      </c>
      <c r="C139" s="135">
        <f>'Prototype Controls'!M6</f>
        <v>0.35</v>
      </c>
      <c r="D139" s="135">
        <f>'Prototype Controls'!N6</f>
        <v>0.55000000000000004</v>
      </c>
      <c r="E139" s="135">
        <f>'Prototype Controls'!O6</f>
        <v>0.35</v>
      </c>
      <c r="F139" s="135">
        <f>'Prototype Controls'!P6</f>
        <v>0.55000000000000004</v>
      </c>
      <c r="G139" s="135">
        <f>'Prototype Controls'!Q6</f>
        <v>0.35</v>
      </c>
      <c r="H139" s="78" t="s">
        <v>411</v>
      </c>
    </row>
    <row r="140" spans="2:10" x14ac:dyDescent="0.25">
      <c r="B140" s="79" t="s">
        <v>193</v>
      </c>
      <c r="C140" s="345">
        <f>'Prototype Controls'!M7</f>
        <v>105000</v>
      </c>
      <c r="D140" s="345">
        <f>'Prototype Controls'!N7</f>
        <v>62000</v>
      </c>
      <c r="E140" s="345">
        <f>'Prototype Controls'!O7</f>
        <v>145000</v>
      </c>
      <c r="F140" s="345">
        <f>'Prototype Controls'!P7</f>
        <v>62000</v>
      </c>
      <c r="G140" s="345">
        <f>'Prototype Controls'!Q7</f>
        <v>145000</v>
      </c>
      <c r="H140" s="78" t="s">
        <v>409</v>
      </c>
    </row>
    <row r="141" spans="2:10" x14ac:dyDescent="0.25">
      <c r="B141" s="79" t="s">
        <v>194</v>
      </c>
      <c r="C141" s="431">
        <f>(C137*C155)</f>
        <v>1359750</v>
      </c>
      <c r="D141" s="431">
        <f t="shared" ref="D141:G141" si="51">(D137*D155)</f>
        <v>204600</v>
      </c>
      <c r="E141" s="431">
        <f t="shared" si="51"/>
        <v>1015000</v>
      </c>
      <c r="F141" s="431">
        <f t="shared" si="51"/>
        <v>204600</v>
      </c>
      <c r="G141" s="431">
        <f t="shared" si="51"/>
        <v>1015000</v>
      </c>
      <c r="H141" s="78" t="s">
        <v>409</v>
      </c>
    </row>
    <row r="142" spans="2:10" x14ac:dyDescent="0.25">
      <c r="B142" s="79" t="s">
        <v>196</v>
      </c>
      <c r="C142" s="103">
        <f>C141+C193</f>
        <v>1892425</v>
      </c>
      <c r="D142" s="103">
        <f>D141+D193</f>
        <v>274475</v>
      </c>
      <c r="E142" s="103">
        <f t="shared" ref="E142" si="52">E141+E193</f>
        <v>1401750</v>
      </c>
      <c r="F142" s="103">
        <f>F141+F193</f>
        <v>308275</v>
      </c>
      <c r="G142" s="103">
        <f>G141+G193</f>
        <v>1561650</v>
      </c>
      <c r="H142" s="78" t="s">
        <v>409</v>
      </c>
    </row>
    <row r="143" spans="2:10" x14ac:dyDescent="0.25">
      <c r="B143" s="79" t="s">
        <v>317</v>
      </c>
      <c r="C143" s="422">
        <f>'Prototype Controls'!M9</f>
        <v>0.85</v>
      </c>
      <c r="D143" s="422">
        <f>'Prototype Controls'!N9</f>
        <v>0.85</v>
      </c>
      <c r="E143" s="422">
        <f>'Prototype Controls'!O9</f>
        <v>0.85</v>
      </c>
      <c r="F143" s="422">
        <f>'Prototype Controls'!P9</f>
        <v>0.85</v>
      </c>
      <c r="G143" s="422">
        <f>'Prototype Controls'!Q9</f>
        <v>0.85</v>
      </c>
      <c r="H143" s="78" t="s">
        <v>413</v>
      </c>
    </row>
    <row r="144" spans="2:10" x14ac:dyDescent="0.25">
      <c r="B144" s="79" t="s">
        <v>198</v>
      </c>
      <c r="C144" s="103">
        <f>MROUND(C141*C143,1)</f>
        <v>1155788</v>
      </c>
      <c r="D144" s="103">
        <f t="shared" ref="D144:G144" si="53">MROUND(D141*D143,1)</f>
        <v>173910</v>
      </c>
      <c r="E144" s="103">
        <f t="shared" si="53"/>
        <v>862750</v>
      </c>
      <c r="F144" s="103">
        <f t="shared" si="53"/>
        <v>173910</v>
      </c>
      <c r="G144" s="103">
        <f t="shared" si="53"/>
        <v>862750</v>
      </c>
      <c r="H144" s="78" t="s">
        <v>409</v>
      </c>
    </row>
    <row r="145" spans="2:9" x14ac:dyDescent="0.25">
      <c r="B145" s="117" t="s">
        <v>166</v>
      </c>
      <c r="C145" s="103">
        <f>MROUND(C$139*C$140*C$143*C156,1)</f>
        <v>1124550</v>
      </c>
      <c r="D145" s="103">
        <f t="shared" ref="D145:G145" si="54">MROUND(D$139*D$140*D$143*D156,1)</f>
        <v>144925</v>
      </c>
      <c r="E145" s="103">
        <f t="shared" si="54"/>
        <v>819613</v>
      </c>
      <c r="F145" s="103">
        <f t="shared" si="54"/>
        <v>0</v>
      </c>
      <c r="G145" s="103">
        <f t="shared" si="54"/>
        <v>0</v>
      </c>
      <c r="H145" s="78" t="s">
        <v>409</v>
      </c>
    </row>
    <row r="146" spans="2:9" x14ac:dyDescent="0.25">
      <c r="B146" s="117" t="s">
        <v>199</v>
      </c>
      <c r="C146" s="103">
        <f>SUM(C147:C148)</f>
        <v>31238</v>
      </c>
      <c r="D146" s="103">
        <f t="shared" ref="D146:G146" si="55">SUM(D147:D148)</f>
        <v>28985</v>
      </c>
      <c r="E146" s="103">
        <f t="shared" si="55"/>
        <v>43138</v>
      </c>
      <c r="F146" s="103">
        <f t="shared" ref="F146" si="56">SUM(F147:F148)</f>
        <v>173910</v>
      </c>
      <c r="G146" s="103">
        <f t="shared" si="55"/>
        <v>862751</v>
      </c>
      <c r="H146" s="78" t="s">
        <v>409</v>
      </c>
    </row>
    <row r="147" spans="2:9" x14ac:dyDescent="0.25">
      <c r="B147" s="95" t="s">
        <v>160</v>
      </c>
      <c r="C147" s="103">
        <f>MROUND(C$139*C$140*C$143*C158,1)</f>
        <v>0</v>
      </c>
      <c r="D147" s="103">
        <f t="shared" ref="D147:G147" si="57">MROUND(D$139*D$140*D$143*D158,1)</f>
        <v>0</v>
      </c>
      <c r="E147" s="103">
        <f t="shared" si="57"/>
        <v>0</v>
      </c>
      <c r="F147" s="103">
        <f t="shared" si="57"/>
        <v>144925</v>
      </c>
      <c r="G147" s="103">
        <f t="shared" si="57"/>
        <v>819613</v>
      </c>
    </row>
    <row r="148" spans="2:9" x14ac:dyDescent="0.25">
      <c r="B148" s="95" t="s">
        <v>162</v>
      </c>
      <c r="C148" s="103">
        <f>MROUND(C$139*C$140*C$143*C159,1)</f>
        <v>31238</v>
      </c>
      <c r="D148" s="103">
        <f t="shared" ref="D148:G148" si="58">MROUND(D$139*D$140*D$143*D159,1)</f>
        <v>28985</v>
      </c>
      <c r="E148" s="103">
        <f t="shared" si="58"/>
        <v>43138</v>
      </c>
      <c r="F148" s="103">
        <f t="shared" si="58"/>
        <v>28985</v>
      </c>
      <c r="G148" s="103">
        <f t="shared" si="58"/>
        <v>43138</v>
      </c>
    </row>
    <row r="149" spans="2:9" x14ac:dyDescent="0.25">
      <c r="B149" s="79" t="s">
        <v>200</v>
      </c>
      <c r="C149" s="270">
        <f>'Prototype Controls'!M15</f>
        <v>12.95</v>
      </c>
      <c r="D149" s="270">
        <f>'Prototype Controls'!N15</f>
        <v>3.3</v>
      </c>
      <c r="E149" s="270">
        <f>'Prototype Controls'!O15</f>
        <v>7</v>
      </c>
      <c r="F149" s="270">
        <f>'Prototype Controls'!P15</f>
        <v>3.3</v>
      </c>
      <c r="G149" s="270">
        <f>'Prototype Controls'!Q15</f>
        <v>7</v>
      </c>
      <c r="H149" s="78" t="s">
        <v>409</v>
      </c>
    </row>
    <row r="150" spans="2:9" x14ac:dyDescent="0.25">
      <c r="B150" s="79" t="s">
        <v>318</v>
      </c>
      <c r="C150" s="270">
        <f>'Prototype Controls'!M16</f>
        <v>24</v>
      </c>
      <c r="D150" s="270">
        <f>'Prototype Controls'!N16</f>
        <v>4</v>
      </c>
      <c r="E150" s="270">
        <f>'Prototype Controls'!O16</f>
        <v>8</v>
      </c>
      <c r="F150" s="270">
        <f>'Prototype Controls'!P16</f>
        <v>4</v>
      </c>
      <c r="G150" s="270">
        <f>'Prototype Controls'!Q16</f>
        <v>8</v>
      </c>
      <c r="H150" s="130"/>
      <c r="I150" s="130"/>
    </row>
    <row r="151" spans="2:9" x14ac:dyDescent="0.25">
      <c r="B151" s="79" t="s">
        <v>414</v>
      </c>
      <c r="C151" s="446">
        <f>C25</f>
        <v>15</v>
      </c>
      <c r="D151" s="446">
        <f t="shared" ref="D151:G151" si="59">D25</f>
        <v>15</v>
      </c>
      <c r="E151" s="446">
        <f t="shared" si="59"/>
        <v>15</v>
      </c>
      <c r="F151" s="446">
        <f t="shared" si="59"/>
        <v>15</v>
      </c>
      <c r="G151" s="446">
        <f t="shared" si="59"/>
        <v>15</v>
      </c>
      <c r="H151" s="78" t="s">
        <v>320</v>
      </c>
    </row>
    <row r="152" spans="2:9" x14ac:dyDescent="0.25">
      <c r="B152" s="79" t="s">
        <v>415</v>
      </c>
      <c r="C152" s="129">
        <f>C26</f>
        <v>12</v>
      </c>
      <c r="D152" s="129">
        <f t="shared" ref="D152:G152" si="60">D26</f>
        <v>12</v>
      </c>
      <c r="E152" s="129">
        <f t="shared" si="60"/>
        <v>12</v>
      </c>
      <c r="F152" s="129">
        <f t="shared" si="60"/>
        <v>12</v>
      </c>
      <c r="G152" s="129">
        <f t="shared" si="60"/>
        <v>12</v>
      </c>
      <c r="H152" s="78" t="s">
        <v>320</v>
      </c>
    </row>
    <row r="153" spans="2:9" x14ac:dyDescent="0.25">
      <c r="B153" s="79" t="s">
        <v>201</v>
      </c>
      <c r="C153" s="103">
        <f>((C155-1)*C152)+C151</f>
        <v>447</v>
      </c>
      <c r="D153" s="103">
        <f t="shared" ref="D153:G153" si="61">((D155-1)*D152)+D151</f>
        <v>75</v>
      </c>
      <c r="E153" s="103">
        <f t="shared" si="61"/>
        <v>243</v>
      </c>
      <c r="F153" s="103">
        <f t="shared" ref="F153" si="62">((F155-1)*F152)+F151</f>
        <v>75</v>
      </c>
      <c r="G153" s="103">
        <f t="shared" si="61"/>
        <v>243</v>
      </c>
      <c r="H153" s="78" t="s">
        <v>320</v>
      </c>
    </row>
    <row r="154" spans="2:9" x14ac:dyDescent="0.25">
      <c r="B154" s="79" t="s">
        <v>321</v>
      </c>
      <c r="C154" s="422">
        <f>'Prototype Controls'!M19</f>
        <v>450</v>
      </c>
      <c r="D154" s="422">
        <f>'Prototype Controls'!N19</f>
        <v>100</v>
      </c>
      <c r="E154" s="422">
        <f>'Prototype Controls'!O19</f>
        <v>250</v>
      </c>
      <c r="F154" s="422">
        <f>'Prototype Controls'!P19</f>
        <v>100</v>
      </c>
      <c r="G154" s="422">
        <f>'Prototype Controls'!Q19</f>
        <v>250</v>
      </c>
      <c r="H154" s="78" t="s">
        <v>320</v>
      </c>
    </row>
    <row r="155" spans="2:9" x14ac:dyDescent="0.25">
      <c r="B155" s="79" t="s">
        <v>203</v>
      </c>
      <c r="C155" s="50">
        <f>'Prototype Controls'!M17</f>
        <v>37</v>
      </c>
      <c r="D155" s="50">
        <f>'Prototype Controls'!N17</f>
        <v>6</v>
      </c>
      <c r="E155" s="50">
        <f>'Prototype Controls'!O17</f>
        <v>20</v>
      </c>
      <c r="F155" s="50">
        <f>'Prototype Controls'!P17</f>
        <v>6</v>
      </c>
      <c r="G155" s="50">
        <f>'Prototype Controls'!Q17</f>
        <v>20</v>
      </c>
      <c r="H155" s="78" t="s">
        <v>319</v>
      </c>
    </row>
    <row r="156" spans="2:9" x14ac:dyDescent="0.25">
      <c r="B156" s="117" t="s">
        <v>166</v>
      </c>
      <c r="C156" s="345">
        <f>'Prototype Controls'!M21</f>
        <v>36</v>
      </c>
      <c r="D156" s="345">
        <f>'Prototype Controls'!N21</f>
        <v>5</v>
      </c>
      <c r="E156" s="345">
        <f>'Prototype Controls'!O21</f>
        <v>19</v>
      </c>
      <c r="F156" s="345">
        <f>'Prototype Controls'!P21</f>
        <v>0</v>
      </c>
      <c r="G156" s="345">
        <f>'Prototype Controls'!Q21</f>
        <v>0</v>
      </c>
      <c r="H156" s="78" t="s">
        <v>319</v>
      </c>
    </row>
    <row r="157" spans="2:9" x14ac:dyDescent="0.25">
      <c r="B157" s="117" t="s">
        <v>199</v>
      </c>
      <c r="C157" s="345">
        <f>'Prototype Controls'!M22</f>
        <v>1</v>
      </c>
      <c r="D157" s="345">
        <f>'Prototype Controls'!N22</f>
        <v>1</v>
      </c>
      <c r="E157" s="345">
        <f>'Prototype Controls'!O22</f>
        <v>1</v>
      </c>
      <c r="F157" s="345">
        <f>'Prototype Controls'!P22</f>
        <v>6</v>
      </c>
      <c r="G157" s="345">
        <f>'Prototype Controls'!Q22</f>
        <v>20</v>
      </c>
      <c r="H157" s="78" t="s">
        <v>319</v>
      </c>
    </row>
    <row r="158" spans="2:9" x14ac:dyDescent="0.25">
      <c r="B158" s="95" t="s">
        <v>160</v>
      </c>
      <c r="C158" s="345">
        <f>'Prototype Controls'!M23</f>
        <v>0</v>
      </c>
      <c r="D158" s="345">
        <f>'Prototype Controls'!N23</f>
        <v>0</v>
      </c>
      <c r="E158" s="345">
        <f>'Prototype Controls'!O23</f>
        <v>0</v>
      </c>
      <c r="F158" s="345">
        <f>'Prototype Controls'!P23</f>
        <v>5</v>
      </c>
      <c r="G158" s="345">
        <f>'Prototype Controls'!Q23</f>
        <v>19</v>
      </c>
      <c r="H158" s="78" t="s">
        <v>319</v>
      </c>
    </row>
    <row r="159" spans="2:9" x14ac:dyDescent="0.25">
      <c r="B159" s="95" t="s">
        <v>162</v>
      </c>
      <c r="C159" s="345">
        <f>'Prototype Controls'!M24</f>
        <v>1</v>
      </c>
      <c r="D159" s="345">
        <f>'Prototype Controls'!N24</f>
        <v>1</v>
      </c>
      <c r="E159" s="345">
        <f>'Prototype Controls'!O24</f>
        <v>1</v>
      </c>
      <c r="F159" s="345">
        <f>'Prototype Controls'!P24</f>
        <v>1</v>
      </c>
      <c r="G159" s="345">
        <f>'Prototype Controls'!Q24</f>
        <v>1</v>
      </c>
      <c r="H159" s="78" t="s">
        <v>319</v>
      </c>
    </row>
    <row r="160" spans="2:9" x14ac:dyDescent="0.25">
      <c r="B160" s="79" t="s">
        <v>204</v>
      </c>
      <c r="C160" s="103">
        <f>ROUNDUP(C193/'Prototype Inputs'!C137,0)</f>
        <v>15</v>
      </c>
      <c r="D160" s="103">
        <f>ROUNDUP(D193/'Prototype Inputs'!D137,0)</f>
        <v>3</v>
      </c>
      <c r="E160" s="103">
        <f>ROUNDUP(E193/'Prototype Inputs'!E137,0)</f>
        <v>8</v>
      </c>
      <c r="F160" s="103">
        <f>ROUNDUP(F193/'Prototype Inputs'!F137,0)</f>
        <v>4</v>
      </c>
      <c r="G160" s="103">
        <f>ROUNDUP(G193/'Prototype Inputs'!G137,0)</f>
        <v>11</v>
      </c>
      <c r="H160" s="78" t="s">
        <v>319</v>
      </c>
    </row>
    <row r="161" spans="2:12" x14ac:dyDescent="0.25">
      <c r="B161" s="1" t="s">
        <v>323</v>
      </c>
      <c r="C161" s="2"/>
      <c r="D161" s="2"/>
      <c r="E161" s="2"/>
      <c r="F161" s="2"/>
      <c r="G161" s="2"/>
    </row>
    <row r="162" spans="2:12" x14ac:dyDescent="0.25">
      <c r="B162" s="83" t="s">
        <v>206</v>
      </c>
      <c r="C162" s="142">
        <f>ROUNDDOWN((C141-(C137*C157))/C167,0)</f>
        <v>1666</v>
      </c>
      <c r="D162" s="142">
        <f t="shared" ref="D162" si="63">ROUNDDOWN((D141-(D137*D157))/D167,0)</f>
        <v>214</v>
      </c>
      <c r="E162" s="142">
        <f>ROUNDDOWN((E141-(E137*E157))/E167,0)</f>
        <v>1214</v>
      </c>
      <c r="F162" s="142" t="str">
        <f>IFERROR(ROUNDDOWN((F141-(F137*F157))/F167,0),"n/a")</f>
        <v>n/a</v>
      </c>
      <c r="G162" s="142" t="str">
        <f>IFERROR(ROUNDDOWN((G141-(G137*G157))/G167,0),"n/a")</f>
        <v>n/a</v>
      </c>
      <c r="H162" s="78" t="s">
        <v>416</v>
      </c>
    </row>
    <row r="163" spans="2:12" x14ac:dyDescent="0.25">
      <c r="B163" s="117" t="s">
        <v>146</v>
      </c>
      <c r="C163" s="442">
        <f>'Prototype Controls'!M27</f>
        <v>0.3</v>
      </c>
      <c r="D163" s="442">
        <f>'Prototype Controls'!N27</f>
        <v>0.3</v>
      </c>
      <c r="E163" s="442">
        <f>'Prototype Controls'!O27</f>
        <v>0.3</v>
      </c>
      <c r="F163" s="442" t="str">
        <f>'Prototype Controls'!P27</f>
        <v>n/a</v>
      </c>
      <c r="G163" s="442" t="str">
        <f>'Prototype Controls'!Q27</f>
        <v>n/a</v>
      </c>
      <c r="H163" s="78" t="s">
        <v>417</v>
      </c>
    </row>
    <row r="164" spans="2:12" x14ac:dyDescent="0.25">
      <c r="B164" s="117" t="s">
        <v>148</v>
      </c>
      <c r="C164" s="442">
        <f>'Prototype Controls'!M28</f>
        <v>0.6</v>
      </c>
      <c r="D164" s="442">
        <f>'Prototype Controls'!N28</f>
        <v>0.6</v>
      </c>
      <c r="E164" s="442">
        <f>'Prototype Controls'!O28</f>
        <v>0.6</v>
      </c>
      <c r="F164" s="442" t="str">
        <f>'Prototype Controls'!P28</f>
        <v>n/a</v>
      </c>
      <c r="G164" s="442" t="str">
        <f>'Prototype Controls'!Q28</f>
        <v>n/a</v>
      </c>
      <c r="H164" s="78" t="s">
        <v>417</v>
      </c>
    </row>
    <row r="165" spans="2:12" x14ac:dyDescent="0.25">
      <c r="B165" s="117" t="s">
        <v>149</v>
      </c>
      <c r="C165" s="442">
        <f>'Prototype Controls'!M29</f>
        <v>0.1</v>
      </c>
      <c r="D165" s="442">
        <f>'Prototype Controls'!N29</f>
        <v>0.1</v>
      </c>
      <c r="E165" s="442">
        <f>'Prototype Controls'!O29</f>
        <v>0.1</v>
      </c>
      <c r="F165" s="442" t="str">
        <f>'Prototype Controls'!P29</f>
        <v>n/a</v>
      </c>
      <c r="G165" s="442" t="str">
        <f>'Prototype Controls'!Q29</f>
        <v>n/a</v>
      </c>
      <c r="H165" s="124" t="s">
        <v>417</v>
      </c>
      <c r="I165" s="124"/>
    </row>
    <row r="166" spans="2:12" x14ac:dyDescent="0.25">
      <c r="B166" s="117" t="s">
        <v>150</v>
      </c>
      <c r="C166" s="442">
        <f>'Prototype Controls'!M30</f>
        <v>0</v>
      </c>
      <c r="D166" s="442">
        <f>'Prototype Controls'!N30</f>
        <v>0</v>
      </c>
      <c r="E166" s="442">
        <f>'Prototype Controls'!O30</f>
        <v>0</v>
      </c>
      <c r="F166" s="442" t="str">
        <f>'Prototype Controls'!P30</f>
        <v>n/a</v>
      </c>
      <c r="G166" s="442" t="str">
        <f>'Prototype Controls'!Q30</f>
        <v>n/a</v>
      </c>
      <c r="H166" s="124" t="s">
        <v>417</v>
      </c>
      <c r="I166" s="124"/>
    </row>
    <row r="167" spans="2:12" x14ac:dyDescent="0.25">
      <c r="B167" s="141" t="s">
        <v>418</v>
      </c>
      <c r="C167" s="142">
        <f>SUMPRODUCT(C168:C171,C163:C166)</f>
        <v>794.11764705882354</v>
      </c>
      <c r="D167" s="142">
        <f t="shared" ref="D167:E167" si="64">SUMPRODUCT(D168:D171,D163:D166)</f>
        <v>794.11764705882354</v>
      </c>
      <c r="E167" s="142">
        <f t="shared" si="64"/>
        <v>794.11764705882354</v>
      </c>
      <c r="F167" s="142" t="s">
        <v>324</v>
      </c>
      <c r="G167" s="142" t="s">
        <v>324</v>
      </c>
      <c r="H167" s="78" t="s">
        <v>409</v>
      </c>
    </row>
    <row r="168" spans="2:12" x14ac:dyDescent="0.25">
      <c r="B168" s="117" t="s">
        <v>146</v>
      </c>
      <c r="C168" s="143">
        <f>IFERROR(C173/C$143,"n/a")</f>
        <v>647.05882352941182</v>
      </c>
      <c r="D168" s="143">
        <f t="shared" ref="D168:G168" si="65">IFERROR(D173/D$143,"n/a")</f>
        <v>647.05882352941182</v>
      </c>
      <c r="E168" s="143">
        <f t="shared" si="65"/>
        <v>647.05882352941182</v>
      </c>
      <c r="F168" s="143" t="str">
        <f t="shared" si="65"/>
        <v>n/a</v>
      </c>
      <c r="G168" s="143" t="str">
        <f t="shared" si="65"/>
        <v>n/a</v>
      </c>
      <c r="H168" s="78" t="s">
        <v>409</v>
      </c>
    </row>
    <row r="169" spans="2:12" x14ac:dyDescent="0.25">
      <c r="B169" s="117" t="s">
        <v>148</v>
      </c>
      <c r="C169" s="143">
        <f t="shared" ref="C169:G171" si="66">IFERROR(C174/C$143,"n/a")</f>
        <v>823.52941176470586</v>
      </c>
      <c r="D169" s="143">
        <f t="shared" si="66"/>
        <v>823.52941176470586</v>
      </c>
      <c r="E169" s="143">
        <f t="shared" si="66"/>
        <v>823.52941176470586</v>
      </c>
      <c r="F169" s="143" t="str">
        <f t="shared" si="66"/>
        <v>n/a</v>
      </c>
      <c r="G169" s="143" t="str">
        <f t="shared" si="66"/>
        <v>n/a</v>
      </c>
      <c r="H169" s="78" t="s">
        <v>409</v>
      </c>
    </row>
    <row r="170" spans="2:12" x14ac:dyDescent="0.25">
      <c r="B170" s="117" t="s">
        <v>149</v>
      </c>
      <c r="C170" s="143">
        <f t="shared" si="66"/>
        <v>1058.8235294117646</v>
      </c>
      <c r="D170" s="143">
        <f t="shared" si="66"/>
        <v>1058.8235294117646</v>
      </c>
      <c r="E170" s="143">
        <f t="shared" si="66"/>
        <v>1058.8235294117646</v>
      </c>
      <c r="F170" s="143" t="str">
        <f t="shared" si="66"/>
        <v>n/a</v>
      </c>
      <c r="G170" s="143" t="str">
        <f t="shared" si="66"/>
        <v>n/a</v>
      </c>
      <c r="H170" s="78" t="s">
        <v>409</v>
      </c>
    </row>
    <row r="171" spans="2:12" x14ac:dyDescent="0.25">
      <c r="B171" s="117" t="s">
        <v>150</v>
      </c>
      <c r="C171" s="143">
        <f t="shared" si="66"/>
        <v>1411.7647058823529</v>
      </c>
      <c r="D171" s="143">
        <f t="shared" si="66"/>
        <v>1411.7647058823529</v>
      </c>
      <c r="E171" s="143">
        <f t="shared" si="66"/>
        <v>1411.7647058823529</v>
      </c>
      <c r="F171" s="143" t="str">
        <f t="shared" si="66"/>
        <v>n/a</v>
      </c>
      <c r="G171" s="143" t="str">
        <f t="shared" si="66"/>
        <v>n/a</v>
      </c>
      <c r="H171" s="78" t="s">
        <v>409</v>
      </c>
    </row>
    <row r="172" spans="2:12" x14ac:dyDescent="0.25">
      <c r="B172" s="141" t="s">
        <v>325</v>
      </c>
      <c r="C172" s="142">
        <f>SUMPRODUCT(C173:C176,C163:C166)</f>
        <v>675</v>
      </c>
      <c r="D172" s="142">
        <f t="shared" ref="D172:E172" si="67">SUMPRODUCT(D173:D176,D163:D166)</f>
        <v>675</v>
      </c>
      <c r="E172" s="142">
        <f t="shared" si="67"/>
        <v>675</v>
      </c>
      <c r="F172" s="142" t="str">
        <f t="shared" ref="F172:G176" si="68">F108</f>
        <v>n/a</v>
      </c>
      <c r="G172" s="142" t="str">
        <f t="shared" si="68"/>
        <v>n/a</v>
      </c>
      <c r="H172" s="78" t="s">
        <v>409</v>
      </c>
    </row>
    <row r="173" spans="2:12" x14ac:dyDescent="0.25">
      <c r="B173" s="117" t="s">
        <v>146</v>
      </c>
      <c r="C173" s="346">
        <f>'Prototype Controls'!M32</f>
        <v>550</v>
      </c>
      <c r="D173" s="346">
        <f>'Prototype Controls'!N32</f>
        <v>550</v>
      </c>
      <c r="E173" s="346">
        <f>'Prototype Controls'!O32</f>
        <v>550</v>
      </c>
      <c r="F173" s="346" t="str">
        <f t="shared" si="68"/>
        <v>n/a</v>
      </c>
      <c r="G173" s="346" t="str">
        <f t="shared" si="68"/>
        <v>n/a</v>
      </c>
      <c r="H173" s="78" t="s">
        <v>409</v>
      </c>
    </row>
    <row r="174" spans="2:12" x14ac:dyDescent="0.25">
      <c r="B174" s="117" t="s">
        <v>148</v>
      </c>
      <c r="C174" s="346">
        <f>'Prototype Controls'!M33</f>
        <v>700</v>
      </c>
      <c r="D174" s="346">
        <f>'Prototype Controls'!N33</f>
        <v>700</v>
      </c>
      <c r="E174" s="346">
        <f>'Prototype Controls'!O33</f>
        <v>700</v>
      </c>
      <c r="F174" s="346" t="str">
        <f t="shared" si="68"/>
        <v>n/a</v>
      </c>
      <c r="G174" s="346" t="str">
        <f t="shared" si="68"/>
        <v>n/a</v>
      </c>
      <c r="H174" s="78" t="s">
        <v>409</v>
      </c>
    </row>
    <row r="175" spans="2:12" x14ac:dyDescent="0.25">
      <c r="B175" s="117" t="s">
        <v>149</v>
      </c>
      <c r="C175" s="346">
        <f>'Prototype Controls'!M34</f>
        <v>900</v>
      </c>
      <c r="D175" s="346">
        <f>'Prototype Controls'!N34</f>
        <v>900</v>
      </c>
      <c r="E175" s="346">
        <f>'Prototype Controls'!O34</f>
        <v>900</v>
      </c>
      <c r="F175" s="346" t="str">
        <f t="shared" si="68"/>
        <v>n/a</v>
      </c>
      <c r="G175" s="346" t="str">
        <f t="shared" si="68"/>
        <v>n/a</v>
      </c>
      <c r="H175" s="78" t="s">
        <v>409</v>
      </c>
    </row>
    <row r="176" spans="2:12" x14ac:dyDescent="0.25">
      <c r="B176" s="117" t="s">
        <v>150</v>
      </c>
      <c r="C176" s="346">
        <f>'Prototype Controls'!M35</f>
        <v>1200</v>
      </c>
      <c r="D176" s="346">
        <f>'Prototype Controls'!N35</f>
        <v>1200</v>
      </c>
      <c r="E176" s="346">
        <f>'Prototype Controls'!O35</f>
        <v>1200</v>
      </c>
      <c r="F176" s="346" t="str">
        <f t="shared" si="68"/>
        <v>n/a</v>
      </c>
      <c r="G176" s="346" t="str">
        <f t="shared" si="68"/>
        <v>n/a</v>
      </c>
      <c r="H176" s="78" t="s">
        <v>409</v>
      </c>
      <c r="L176" s="133"/>
    </row>
    <row r="177" spans="2:10" x14ac:dyDescent="0.25">
      <c r="B177" s="1" t="s">
        <v>156</v>
      </c>
      <c r="C177" s="2"/>
      <c r="D177" s="2"/>
      <c r="E177" s="2"/>
      <c r="F177" s="2"/>
      <c r="G177" s="2"/>
    </row>
    <row r="178" spans="2:10" x14ac:dyDescent="0.25">
      <c r="B178" s="79" t="s">
        <v>326</v>
      </c>
      <c r="C178" s="422" t="str">
        <f>'Prototype Controls'!M37</f>
        <v>Structured</v>
      </c>
      <c r="D178" s="422" t="str">
        <f>'Prototype Controls'!N37</f>
        <v>Structured</v>
      </c>
      <c r="E178" s="422" t="str">
        <f>'Prototype Controls'!O37</f>
        <v>Structured</v>
      </c>
      <c r="F178" s="422" t="str">
        <f>'Prototype Controls'!P37</f>
        <v>Structured</v>
      </c>
      <c r="G178" s="422" t="str">
        <f>'Prototype Controls'!Q37</f>
        <v>Structured</v>
      </c>
      <c r="H178" s="78" t="s">
        <v>328</v>
      </c>
      <c r="J178" s="124"/>
    </row>
    <row r="179" spans="2:10" x14ac:dyDescent="0.25">
      <c r="B179" s="83" t="s">
        <v>419</v>
      </c>
      <c r="C179" s="126"/>
      <c r="D179" s="126"/>
      <c r="E179" s="126"/>
      <c r="F179" s="126"/>
      <c r="G179" s="126"/>
      <c r="J179" s="124"/>
    </row>
    <row r="180" spans="2:10" x14ac:dyDescent="0.25">
      <c r="B180" s="117" t="s">
        <v>166</v>
      </c>
      <c r="C180" s="423">
        <f>'Prototype Controls'!M39</f>
        <v>0.96499999999999997</v>
      </c>
      <c r="D180" s="423">
        <f>'Prototype Controls'!N39</f>
        <v>0.87</v>
      </c>
      <c r="E180" s="423">
        <f>'Prototype Controls'!O39</f>
        <v>0.94499999999999995</v>
      </c>
      <c r="F180" s="423" t="str">
        <f>'Prototype Controls'!P39</f>
        <v>n/a</v>
      </c>
      <c r="G180" s="423" t="str">
        <f>'Prototype Controls'!Q39</f>
        <v>n/a</v>
      </c>
      <c r="H180" s="78" t="s">
        <v>420</v>
      </c>
    </row>
    <row r="181" spans="2:10" x14ac:dyDescent="0.25">
      <c r="B181" s="117" t="s">
        <v>162</v>
      </c>
      <c r="C181" s="423">
        <f>'Prototype Controls'!M40</f>
        <v>1</v>
      </c>
      <c r="D181" s="423">
        <f>'Prototype Controls'!N40</f>
        <v>1</v>
      </c>
      <c r="E181" s="423">
        <f>'Prototype Controls'!O40</f>
        <v>1</v>
      </c>
      <c r="F181" s="423">
        <f>'Prototype Controls'!P40</f>
        <v>1</v>
      </c>
      <c r="G181" s="423">
        <f>'Prototype Controls'!Q40</f>
        <v>1</v>
      </c>
      <c r="H181" s="78" t="s">
        <v>330</v>
      </c>
    </row>
    <row r="182" spans="2:10" x14ac:dyDescent="0.25">
      <c r="B182" s="117" t="s">
        <v>160</v>
      </c>
      <c r="C182" s="423" t="str">
        <f>'Prototype Controls'!M41</f>
        <v>n/a</v>
      </c>
      <c r="D182" s="423" t="str">
        <f>'Prototype Controls'!N41</f>
        <v>n/a</v>
      </c>
      <c r="E182" s="423" t="str">
        <f>'Prototype Controls'!O41</f>
        <v>n/a</v>
      </c>
      <c r="F182" s="423">
        <f>'Prototype Controls'!P41</f>
        <v>2</v>
      </c>
      <c r="G182" s="423">
        <f>'Prototype Controls'!Q41</f>
        <v>2</v>
      </c>
      <c r="H182" s="78" t="s">
        <v>330</v>
      </c>
    </row>
    <row r="183" spans="2:10" x14ac:dyDescent="0.25">
      <c r="B183" s="141" t="s">
        <v>364</v>
      </c>
      <c r="C183" s="142">
        <f>SUM(C184:C185)</f>
        <v>1639</v>
      </c>
      <c r="D183" s="142">
        <f>SUM(D184:D185)</f>
        <v>215</v>
      </c>
      <c r="E183" s="142">
        <f>SUM(E184:E185)</f>
        <v>1190</v>
      </c>
      <c r="F183" s="142">
        <f>SUM(F184:F185)</f>
        <v>319</v>
      </c>
      <c r="G183" s="142">
        <f>SUM(G184:G185)</f>
        <v>1682</v>
      </c>
      <c r="H183" s="78" t="s">
        <v>422</v>
      </c>
    </row>
    <row r="184" spans="2:10" x14ac:dyDescent="0.25">
      <c r="B184" s="117" t="s">
        <v>166</v>
      </c>
      <c r="C184" s="143">
        <f>IFERROR(MROUND(C162*C180,1),"n/a")</f>
        <v>1608</v>
      </c>
      <c r="D184" s="143">
        <f>IFERROR(MROUND(D162*D180,1),"n/a")</f>
        <v>186</v>
      </c>
      <c r="E184" s="143">
        <f t="shared" ref="E184:G184" si="69">IFERROR(MROUND(E162*E180,1),"n/a")</f>
        <v>1147</v>
      </c>
      <c r="F184" s="143" t="str">
        <f t="shared" ref="F184" si="70">IFERROR(MROUND(F162*F180,1),"n/a")</f>
        <v>n/a</v>
      </c>
      <c r="G184" s="143" t="str">
        <f t="shared" si="69"/>
        <v>n/a</v>
      </c>
      <c r="H184" s="78" t="s">
        <v>422</v>
      </c>
    </row>
    <row r="185" spans="2:10" x14ac:dyDescent="0.25">
      <c r="B185" s="117" t="s">
        <v>199</v>
      </c>
      <c r="C185" s="122">
        <f>SUM(C186:C187)</f>
        <v>31</v>
      </c>
      <c r="D185" s="122">
        <f t="shared" ref="D185:G185" si="71">SUM(D186:D187)</f>
        <v>29</v>
      </c>
      <c r="E185" s="122">
        <f t="shared" si="71"/>
        <v>43</v>
      </c>
      <c r="F185" s="122">
        <f t="shared" ref="F185" si="72">SUM(F186:F187)</f>
        <v>319</v>
      </c>
      <c r="G185" s="122">
        <f t="shared" si="71"/>
        <v>1682</v>
      </c>
      <c r="H185" s="78" t="s">
        <v>422</v>
      </c>
    </row>
    <row r="186" spans="2:10" x14ac:dyDescent="0.25">
      <c r="B186" s="95" t="s">
        <v>162</v>
      </c>
      <c r="C186" s="103">
        <f>MROUND('Prototype Inputs'!C148/1000*C181,1)</f>
        <v>31</v>
      </c>
      <c r="D186" s="103">
        <f>MROUND('Prototype Inputs'!D148/1000*D181,1)</f>
        <v>29</v>
      </c>
      <c r="E186" s="103">
        <f>MROUND('Prototype Inputs'!E148/1000*E181,1)</f>
        <v>43</v>
      </c>
      <c r="F186" s="103">
        <f>MROUND('Prototype Inputs'!F148/1000*F181,1)</f>
        <v>29</v>
      </c>
      <c r="G186" s="103">
        <f>MROUND('Prototype Inputs'!G148/1000*G181,1)</f>
        <v>43</v>
      </c>
      <c r="H186" s="78" t="s">
        <v>422</v>
      </c>
    </row>
    <row r="187" spans="2:10" x14ac:dyDescent="0.25">
      <c r="B187" s="95" t="s">
        <v>160</v>
      </c>
      <c r="C187" s="103" t="str">
        <f>IFERROR(MROUND('Prototype Inputs'!C147/1000*C182,1),"n/a")</f>
        <v>n/a</v>
      </c>
      <c r="D187" s="103" t="str">
        <f>IFERROR(MROUND('Prototype Inputs'!D147/1000*D182,1),"n/a")</f>
        <v>n/a</v>
      </c>
      <c r="E187" s="103" t="str">
        <f>IFERROR(MROUND('Prototype Inputs'!E147/1000*E182,1),"n/a")</f>
        <v>n/a</v>
      </c>
      <c r="F187" s="103">
        <f>IFERROR(MROUND('Prototype Inputs'!F147/1000*F182,1),"n/a")</f>
        <v>290</v>
      </c>
      <c r="G187" s="103">
        <f>IFERROR(MROUND('Prototype Inputs'!G147/1000*G182,1),"n/a")</f>
        <v>1639</v>
      </c>
      <c r="H187" s="78" t="s">
        <v>422</v>
      </c>
    </row>
    <row r="188" spans="2:10" x14ac:dyDescent="0.25">
      <c r="B188" s="117" t="s">
        <v>338</v>
      </c>
      <c r="C188" s="143">
        <f>IF(OR(C178=$B188,C178="Mixed"),IF(ROUNDDOWN((C140-(C140*(SUM(C138:C139))))/C191,0)&gt;C183,C183,ROUNDDOWN((C140-(C140*(SUM(C138:C139))))/C191,0)),0)</f>
        <v>0</v>
      </c>
      <c r="D188" s="143">
        <f t="shared" ref="D188:G188" si="73">IF(OR(D178=$B188,D178="Mixed"),IF(ROUNDDOWN((D140-(D140*(SUM(D138:D139))))/D191,0)&gt;D183,D183,ROUNDDOWN((D140-(D140*(SUM(D138:D139))))/D191,0)),0)</f>
        <v>0</v>
      </c>
      <c r="E188" s="143">
        <f t="shared" si="73"/>
        <v>0</v>
      </c>
      <c r="F188" s="143">
        <f t="shared" si="73"/>
        <v>0</v>
      </c>
      <c r="G188" s="143">
        <f t="shared" si="73"/>
        <v>0</v>
      </c>
      <c r="H188" s="78" t="s">
        <v>422</v>
      </c>
    </row>
    <row r="189" spans="2:10" x14ac:dyDescent="0.25">
      <c r="B189" s="117" t="s">
        <v>327</v>
      </c>
      <c r="C189" s="103">
        <f>IF(C178=$B$189,C183,C183-C188)</f>
        <v>1639</v>
      </c>
      <c r="D189" s="103">
        <f t="shared" ref="D189:F189" si="74">IF(D178=$B$189,D183,D183-D188)</f>
        <v>215</v>
      </c>
      <c r="E189" s="103">
        <f t="shared" si="74"/>
        <v>1190</v>
      </c>
      <c r="F189" s="103">
        <f t="shared" si="74"/>
        <v>319</v>
      </c>
      <c r="G189" s="103">
        <f>IF(G178=$B$189,G183,G183-G188)</f>
        <v>1682</v>
      </c>
      <c r="H189" s="78" t="s">
        <v>422</v>
      </c>
    </row>
    <row r="190" spans="2:10" x14ac:dyDescent="0.25">
      <c r="B190" s="79" t="s">
        <v>423</v>
      </c>
    </row>
    <row r="191" spans="2:10" x14ac:dyDescent="0.25">
      <c r="B191" s="117" t="s">
        <v>338</v>
      </c>
      <c r="C191" s="78">
        <f>C65</f>
        <v>300</v>
      </c>
      <c r="D191" s="78">
        <f t="shared" ref="D191:G191" si="75">D65</f>
        <v>300</v>
      </c>
      <c r="E191" s="78">
        <f t="shared" si="75"/>
        <v>300</v>
      </c>
      <c r="F191" s="78">
        <f t="shared" si="75"/>
        <v>300</v>
      </c>
      <c r="G191" s="78">
        <f t="shared" si="75"/>
        <v>300</v>
      </c>
      <c r="H191" s="78" t="s">
        <v>409</v>
      </c>
    </row>
    <row r="192" spans="2:10" x14ac:dyDescent="0.25">
      <c r="B192" s="117" t="s">
        <v>327</v>
      </c>
      <c r="C192" s="78">
        <f>C66</f>
        <v>325</v>
      </c>
      <c r="D192" s="78">
        <f t="shared" ref="D192:G192" si="76">D66</f>
        <v>325</v>
      </c>
      <c r="E192" s="78">
        <f t="shared" si="76"/>
        <v>325</v>
      </c>
      <c r="F192" s="78">
        <f t="shared" si="76"/>
        <v>325</v>
      </c>
      <c r="G192" s="78">
        <f t="shared" si="76"/>
        <v>325</v>
      </c>
      <c r="H192" s="78" t="s">
        <v>409</v>
      </c>
    </row>
    <row r="193" spans="2:12" ht="14.4" thickBot="1" x14ac:dyDescent="0.3">
      <c r="B193" s="145" t="s">
        <v>424</v>
      </c>
      <c r="C193" s="146">
        <f>(C189*C192)</f>
        <v>532675</v>
      </c>
      <c r="D193" s="146">
        <f t="shared" ref="D193:F193" si="77">(D189*D192)</f>
        <v>69875</v>
      </c>
      <c r="E193" s="146">
        <f t="shared" si="77"/>
        <v>386750</v>
      </c>
      <c r="F193" s="146">
        <f t="shared" si="77"/>
        <v>103675</v>
      </c>
      <c r="G193" s="146">
        <f>(G189*G192)</f>
        <v>546650</v>
      </c>
      <c r="H193" s="84" t="s">
        <v>409</v>
      </c>
    </row>
    <row r="196" spans="2:12" x14ac:dyDescent="0.25">
      <c r="L196" s="133"/>
    </row>
  </sheetData>
  <phoneticPr fontId="4" type="noConversion"/>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C4BE-FDB5-42F4-A691-157DD31A2094}">
  <sheetPr codeName="Sheet15">
    <tabColor theme="7"/>
  </sheetPr>
  <dimension ref="A1:R68"/>
  <sheetViews>
    <sheetView topLeftCell="C1" workbookViewId="0">
      <selection activeCell="D67" sqref="D67:F68"/>
    </sheetView>
  </sheetViews>
  <sheetFormatPr defaultColWidth="8.69921875" defaultRowHeight="13.8" x14ac:dyDescent="0.25"/>
  <cols>
    <col min="1" max="1" width="28.8984375" style="78" bestFit="1" customWidth="1"/>
    <col min="2" max="2" width="28.8984375" style="78" customWidth="1"/>
    <col min="3" max="3" width="34.59765625" style="78" customWidth="1"/>
    <col min="4" max="4" width="11.5" style="78" bestFit="1" customWidth="1"/>
    <col min="5" max="5" width="14.09765625" style="78" customWidth="1"/>
    <col min="6" max="6" width="10.5" style="78" bestFit="1" customWidth="1"/>
    <col min="7" max="7" width="16" style="78" customWidth="1"/>
    <col min="8" max="8" width="15.3984375" style="78" customWidth="1"/>
    <col min="9" max="9" width="24.59765625" style="78" bestFit="1" customWidth="1"/>
    <col min="10" max="10" width="23.19921875" style="78" bestFit="1" customWidth="1"/>
    <col min="11" max="18" width="8.59765625" style="78" customWidth="1"/>
    <col min="19" max="16384" width="8.69921875" style="78"/>
  </cols>
  <sheetData>
    <row r="1" spans="1:18" ht="17.399999999999999" x14ac:dyDescent="0.3">
      <c r="B1" s="136"/>
      <c r="C1" s="138"/>
      <c r="L1" s="138"/>
    </row>
    <row r="2" spans="1:18" ht="18" thickBot="1" x14ac:dyDescent="0.35">
      <c r="C2" s="138"/>
      <c r="L2" s="138"/>
    </row>
    <row r="3" spans="1:18" ht="41.4" x14ac:dyDescent="0.25">
      <c r="A3" s="523" t="s">
        <v>246</v>
      </c>
      <c r="C3" s="263" t="s">
        <v>10</v>
      </c>
      <c r="D3" s="262" t="s">
        <v>125</v>
      </c>
      <c r="E3" s="262" t="s">
        <v>126</v>
      </c>
      <c r="F3" s="262" t="s">
        <v>128</v>
      </c>
      <c r="G3" s="262" t="s">
        <v>130</v>
      </c>
      <c r="H3" s="262" t="s">
        <v>132</v>
      </c>
      <c r="I3" s="140" t="s">
        <v>145</v>
      </c>
      <c r="J3" s="140" t="s">
        <v>331</v>
      </c>
      <c r="L3" s="83"/>
      <c r="M3" s="134"/>
      <c r="N3" s="134"/>
      <c r="O3" s="134"/>
      <c r="P3" s="134"/>
      <c r="Q3" s="134"/>
      <c r="R3" s="134"/>
    </row>
    <row r="4" spans="1:18" x14ac:dyDescent="0.25">
      <c r="A4" s="50" t="s">
        <v>425</v>
      </c>
      <c r="C4" s="1" t="s">
        <v>332</v>
      </c>
      <c r="D4" s="1"/>
      <c r="E4" s="1"/>
      <c r="F4" s="1"/>
      <c r="G4" s="1"/>
      <c r="H4" s="1"/>
      <c r="I4" s="1"/>
      <c r="J4" s="1"/>
      <c r="L4" s="83"/>
      <c r="M4" s="83"/>
      <c r="N4" s="83"/>
      <c r="O4" s="83"/>
      <c r="P4" s="83"/>
      <c r="Q4" s="83"/>
      <c r="R4" s="83"/>
    </row>
    <row r="5" spans="1:18" x14ac:dyDescent="0.25">
      <c r="A5" s="51" t="s">
        <v>408</v>
      </c>
      <c r="C5" s="117" t="s">
        <v>146</v>
      </c>
      <c r="D5" s="524">
        <f>'Input Controls'!E5</f>
        <v>4.5</v>
      </c>
      <c r="E5" s="524">
        <f>'Input Controls'!F5</f>
        <v>4.2</v>
      </c>
      <c r="F5" s="524">
        <f>'Input Controls'!G5</f>
        <v>4.5</v>
      </c>
      <c r="G5" s="524" t="str">
        <f>'Input Controls'!H5</f>
        <v>n/a</v>
      </c>
      <c r="H5" s="524" t="str">
        <f>'Input Controls'!I5</f>
        <v>n/a</v>
      </c>
      <c r="I5" s="78" t="s">
        <v>147</v>
      </c>
      <c r="J5" s="78" t="s">
        <v>426</v>
      </c>
      <c r="M5" s="116"/>
      <c r="P5" s="98"/>
    </row>
    <row r="6" spans="1:18" x14ac:dyDescent="0.25">
      <c r="A6" s="137" t="s">
        <v>252</v>
      </c>
      <c r="C6" s="117" t="s">
        <v>148</v>
      </c>
      <c r="D6" s="524">
        <f>'Input Controls'!E6</f>
        <v>4.2</v>
      </c>
      <c r="E6" s="524">
        <f>'Input Controls'!F6</f>
        <v>3.85</v>
      </c>
      <c r="F6" s="524">
        <f>'Input Controls'!G6</f>
        <v>4.2</v>
      </c>
      <c r="G6" s="524" t="str">
        <f>'Input Controls'!H6</f>
        <v>n/a</v>
      </c>
      <c r="H6" s="524" t="str">
        <f>'Input Controls'!I6</f>
        <v>n/a</v>
      </c>
      <c r="I6" s="78" t="s">
        <v>147</v>
      </c>
      <c r="J6" s="78" t="s">
        <v>426</v>
      </c>
      <c r="L6" s="117"/>
      <c r="M6" s="116"/>
      <c r="N6" s="116"/>
      <c r="O6" s="116"/>
      <c r="P6" s="116"/>
    </row>
    <row r="7" spans="1:18" x14ac:dyDescent="0.25">
      <c r="C7" s="117" t="s">
        <v>149</v>
      </c>
      <c r="D7" s="524">
        <f>'Input Controls'!E7</f>
        <v>3.85</v>
      </c>
      <c r="E7" s="524">
        <f>'Input Controls'!F7</f>
        <v>3.65</v>
      </c>
      <c r="F7" s="524">
        <f>'Input Controls'!G7</f>
        <v>3.85</v>
      </c>
      <c r="G7" s="524" t="str">
        <f>'Input Controls'!H7</f>
        <v>n/a</v>
      </c>
      <c r="H7" s="524" t="str">
        <f>'Input Controls'!I7</f>
        <v>n/a</v>
      </c>
      <c r="I7" s="78" t="s">
        <v>147</v>
      </c>
      <c r="J7" s="78" t="s">
        <v>426</v>
      </c>
      <c r="L7" s="117"/>
      <c r="M7" s="116"/>
      <c r="N7" s="116"/>
      <c r="O7" s="116"/>
      <c r="P7" s="116"/>
    </row>
    <row r="8" spans="1:18" x14ac:dyDescent="0.25">
      <c r="C8" s="117" t="s">
        <v>150</v>
      </c>
      <c r="D8" s="524">
        <f>'Input Controls'!E8</f>
        <v>3.65</v>
      </c>
      <c r="E8" s="524">
        <f>'Input Controls'!F8</f>
        <v>3.45</v>
      </c>
      <c r="F8" s="524">
        <f>'Input Controls'!G8</f>
        <v>3.65</v>
      </c>
      <c r="G8" s="524" t="str">
        <f>'Input Controls'!H8</f>
        <v>n/a</v>
      </c>
      <c r="H8" s="524" t="str">
        <f>'Input Controls'!I8</f>
        <v>n/a</v>
      </c>
      <c r="I8" s="78" t="s">
        <v>147</v>
      </c>
      <c r="J8" s="78" t="s">
        <v>426</v>
      </c>
      <c r="M8" s="99"/>
      <c r="N8" s="99"/>
      <c r="O8" s="99"/>
      <c r="P8" s="99"/>
    </row>
    <row r="9" spans="1:18" x14ac:dyDescent="0.25">
      <c r="C9" s="1" t="s">
        <v>427</v>
      </c>
      <c r="D9" s="1" t="s">
        <v>428</v>
      </c>
      <c r="E9" s="59">
        <f>'Model Controls'!H27</f>
        <v>0.8</v>
      </c>
      <c r="F9" s="1"/>
      <c r="G9" s="59"/>
      <c r="H9" s="1"/>
      <c r="I9" s="1"/>
      <c r="J9" s="1"/>
    </row>
    <row r="10" spans="1:18" x14ac:dyDescent="0.25">
      <c r="C10" s="117" t="s">
        <v>146</v>
      </c>
      <c r="D10" s="116">
        <f>INDEX('ARCH 2024'!$P$33:$AG$37,MATCH($C10,'ARCH 2024'!$O$33:$O$37,0),MATCH($E$9,'ARCH 2024'!$P$32:$AG$32,0))-INDEX('ARCH 2024'!$R$40:$R$44,MATCH('Model Inputs'!$C10,'ARCH 2024'!$O$40:$O$44,0))</f>
        <v>1795.6</v>
      </c>
      <c r="E10" s="116">
        <f>INDEX('ARCH 2024'!$P$33:$AG$37,MATCH($C10,'ARCH 2024'!$O$33:$O$37,0),MATCH($E$9,'ARCH 2024'!$P$32:$AG$32,0))-INDEX('ARCH 2024'!$R$40:$R$44,MATCH('Model Inputs'!$C10,'ARCH 2024'!$O$40:$O$44,0))</f>
        <v>1795.6</v>
      </c>
      <c r="F10" s="116">
        <f>INDEX('ARCH 2024'!$P$33:$AG$37,MATCH($C10,'ARCH 2024'!$O$33:$O$37,0),MATCH($E$9,'ARCH 2024'!$P$32:$AG$32,0))-INDEX('ARCH 2024'!$R$40:$R$44,MATCH('Model Inputs'!$C10,'ARCH 2024'!$O$40:$O$44,0))</f>
        <v>1795.6</v>
      </c>
      <c r="G10" s="104" t="s">
        <v>324</v>
      </c>
      <c r="H10" s="104" t="s">
        <v>324</v>
      </c>
      <c r="I10" s="78" t="s">
        <v>619</v>
      </c>
      <c r="J10" s="78" t="s">
        <v>429</v>
      </c>
    </row>
    <row r="11" spans="1:18" x14ac:dyDescent="0.25">
      <c r="C11" s="117" t="s">
        <v>148</v>
      </c>
      <c r="D11" s="116">
        <f>INDEX('ARCH 2024'!$P$33:$AG$37,MATCH($C11,'ARCH 2024'!$O$33:$O$37,0),MATCH($E$9,'ARCH 2024'!$P$32:$AG$32,0))-INDEX('ARCH 2024'!$R$40:$R$44,MATCH('Model Inputs'!$C11,'ARCH 2024'!$O$40:$O$44,0))</f>
        <v>1911</v>
      </c>
      <c r="E11" s="116">
        <f>INDEX('ARCH 2024'!$P$33:$AG$37,MATCH($C11,'ARCH 2024'!$O$33:$O$37,0),MATCH($E$9,'ARCH 2024'!$P$32:$AG$32,0))-INDEX('ARCH 2024'!$R$40:$R$44,MATCH('Model Inputs'!$C11,'ARCH 2024'!$O$40:$O$44,0))</f>
        <v>1911</v>
      </c>
      <c r="F11" s="116">
        <f>INDEX('ARCH 2024'!$P$33:$AG$37,MATCH($C11,'ARCH 2024'!$O$33:$O$37,0),MATCH($E$9,'ARCH 2024'!$P$32:$AG$32,0))-INDEX('ARCH 2024'!$R$40:$R$44,MATCH('Model Inputs'!$C11,'ARCH 2024'!$O$40:$O$44,0))</f>
        <v>1911</v>
      </c>
      <c r="G11" s="104" t="s">
        <v>324</v>
      </c>
      <c r="H11" s="104" t="s">
        <v>324</v>
      </c>
      <c r="I11" s="78" t="s">
        <v>619</v>
      </c>
      <c r="J11" s="78" t="s">
        <v>429</v>
      </c>
    </row>
    <row r="12" spans="1:18" ht="17.399999999999999" x14ac:dyDescent="0.3">
      <c r="C12" s="117" t="s">
        <v>149</v>
      </c>
      <c r="D12" s="116">
        <f>INDEX('ARCH 2024'!$P$33:$AG$37,MATCH($C12,'ARCH 2024'!$O$33:$O$37,0),MATCH($E$9,'ARCH 2024'!$P$32:$AG$32,0))-INDEX('ARCH 2024'!$R$40:$R$44,MATCH('Model Inputs'!$C12,'ARCH 2024'!$O$40:$O$44,0))</f>
        <v>2307.1999999999998</v>
      </c>
      <c r="E12" s="116">
        <f>INDEX('ARCH 2024'!$P$33:$AG$37,MATCH($C12,'ARCH 2024'!$O$33:$O$37,0),MATCH($E$9,'ARCH 2024'!$P$32:$AG$32,0))-INDEX('ARCH 2024'!$R$40:$R$44,MATCH('Model Inputs'!$C12,'ARCH 2024'!$O$40:$O$44,0))</f>
        <v>2307.1999999999998</v>
      </c>
      <c r="F12" s="116">
        <f>INDEX('ARCH 2024'!$P$33:$AG$37,MATCH($C12,'ARCH 2024'!$O$33:$O$37,0),MATCH($E$9,'ARCH 2024'!$P$32:$AG$32,0))-INDEX('ARCH 2024'!$R$40:$R$44,MATCH('Model Inputs'!$C12,'ARCH 2024'!$O$40:$O$44,0))</f>
        <v>2307.1999999999998</v>
      </c>
      <c r="G12" s="104" t="s">
        <v>324</v>
      </c>
      <c r="H12" s="104" t="s">
        <v>324</v>
      </c>
      <c r="I12" s="78" t="s">
        <v>619</v>
      </c>
      <c r="J12" s="78" t="s">
        <v>429</v>
      </c>
      <c r="L12" s="138"/>
    </row>
    <row r="13" spans="1:18" x14ac:dyDescent="0.25">
      <c r="C13" s="117" t="s">
        <v>150</v>
      </c>
      <c r="D13" s="116">
        <f>INDEX('ARCH 2024'!$P$33:$AG$37,MATCH($C13,'ARCH 2024'!$O$33:$O$37,0),MATCH($E$9,'ARCH 2024'!$P$32:$AG$32,0))-INDEX('ARCH 2024'!$R$40:$R$44,MATCH('Model Inputs'!$C13,'ARCH 2024'!$O$40:$O$44,0))</f>
        <v>2663.9199999999996</v>
      </c>
      <c r="E13" s="116">
        <f>INDEX('ARCH 2024'!$P$33:$AG$37,MATCH($C13,'ARCH 2024'!$O$33:$O$37,0),MATCH($E$9,'ARCH 2024'!$P$32:$AG$32,0))-INDEX('ARCH 2024'!$R$40:$R$44,MATCH('Model Inputs'!$C13,'ARCH 2024'!$O$40:$O$44,0))</f>
        <v>2663.9199999999996</v>
      </c>
      <c r="F13" s="116">
        <f>INDEX('ARCH 2024'!$P$33:$AG$37,MATCH($C13,'ARCH 2024'!$O$33:$O$37,0),MATCH($E$9,'ARCH 2024'!$P$32:$AG$32,0))-INDEX('ARCH 2024'!$R$40:$R$44,MATCH('Model Inputs'!$C13,'ARCH 2024'!$O$40:$O$44,0))</f>
        <v>2663.9199999999996</v>
      </c>
      <c r="G13" s="104" t="s">
        <v>324</v>
      </c>
      <c r="H13" s="104" t="s">
        <v>324</v>
      </c>
      <c r="I13" s="78" t="s">
        <v>619</v>
      </c>
      <c r="J13" s="78" t="s">
        <v>429</v>
      </c>
      <c r="L13" s="83"/>
      <c r="M13" s="134"/>
      <c r="N13" s="134"/>
      <c r="O13" s="134"/>
      <c r="P13" s="134"/>
      <c r="Q13" s="134"/>
      <c r="R13" s="134"/>
    </row>
    <row r="14" spans="1:18" x14ac:dyDescent="0.25">
      <c r="C14" s="1" t="s">
        <v>430</v>
      </c>
      <c r="D14" s="1" t="s">
        <v>428</v>
      </c>
      <c r="E14" s="59">
        <f>'Model Controls'!K55</f>
        <v>0.8</v>
      </c>
      <c r="F14" s="1"/>
      <c r="G14" s="59"/>
      <c r="H14" s="1"/>
      <c r="I14" s="1"/>
      <c r="J14" s="1"/>
      <c r="L14" s="83"/>
      <c r="M14" s="83"/>
      <c r="N14" s="83"/>
      <c r="O14" s="83"/>
      <c r="P14" s="83"/>
      <c r="Q14" s="83"/>
      <c r="R14" s="83"/>
    </row>
    <row r="15" spans="1:18" x14ac:dyDescent="0.25">
      <c r="C15" s="117" t="s">
        <v>146</v>
      </c>
      <c r="D15" s="116">
        <f>INDEX('ARCH 2024'!$P$33:$AG$37,MATCH($C15,'ARCH 2024'!$O$33:$O$37,0),MATCH($E$14,'ARCH 2024'!$P$32:$AG$32,0))-INDEX('ARCH 2024'!$R$40:$R$44,MATCH('Model Inputs'!$C15,'ARCH 2024'!$O$40:$O$44,0))</f>
        <v>1795.6</v>
      </c>
      <c r="E15" s="116">
        <f>INDEX('ARCH 2024'!$P$33:$AG$37,MATCH($C15,'ARCH 2024'!$O$33:$O$37,0),MATCH($E$14,'ARCH 2024'!$P$32:$AG$32,0))-INDEX('ARCH 2024'!$R$40:$R$44,MATCH('Model Inputs'!$C15,'ARCH 2024'!$O$40:$O$44,0))</f>
        <v>1795.6</v>
      </c>
      <c r="F15" s="116">
        <f>INDEX('ARCH 2024'!$P$33:$AG$37,MATCH($C15,'ARCH 2024'!$O$33:$O$37,0),MATCH($E$14,'ARCH 2024'!$P$32:$AG$32,0))-INDEX('ARCH 2024'!$R$40:$R$44,MATCH('Model Inputs'!$C15,'ARCH 2024'!$O$40:$O$44,0))</f>
        <v>1795.6</v>
      </c>
      <c r="G15" s="104" t="s">
        <v>324</v>
      </c>
      <c r="H15" s="104" t="s">
        <v>324</v>
      </c>
      <c r="I15" s="78" t="s">
        <v>619</v>
      </c>
      <c r="J15" s="78" t="s">
        <v>429</v>
      </c>
      <c r="M15" s="116"/>
      <c r="P15" s="98"/>
    </row>
    <row r="16" spans="1:18" x14ac:dyDescent="0.25">
      <c r="C16" s="117" t="s">
        <v>148</v>
      </c>
      <c r="D16" s="116">
        <f>INDEX('ARCH 2024'!$P$33:$AG$37,MATCH($C16,'ARCH 2024'!$O$33:$O$37,0),MATCH($E$14,'ARCH 2024'!$P$32:$AG$32,0))-INDEX('ARCH 2024'!$R$40:$R$44,MATCH('Model Inputs'!$C16,'ARCH 2024'!$O$40:$O$44,0))</f>
        <v>1911</v>
      </c>
      <c r="E16" s="116">
        <f>INDEX('ARCH 2024'!$P$33:$AG$37,MATCH($C16,'ARCH 2024'!$O$33:$O$37,0),MATCH($E$14,'ARCH 2024'!$P$32:$AG$32,0))-INDEX('ARCH 2024'!$R$40:$R$44,MATCH('Model Inputs'!$C16,'ARCH 2024'!$O$40:$O$44,0))</f>
        <v>1911</v>
      </c>
      <c r="F16" s="116">
        <f>INDEX('ARCH 2024'!$P$33:$AG$37,MATCH($C16,'ARCH 2024'!$O$33:$O$37,0),MATCH($E$14,'ARCH 2024'!$P$32:$AG$32,0))-INDEX('ARCH 2024'!$R$40:$R$44,MATCH('Model Inputs'!$C16,'ARCH 2024'!$O$40:$O$44,0))</f>
        <v>1911</v>
      </c>
      <c r="G16" s="104" t="s">
        <v>324</v>
      </c>
      <c r="H16" s="104" t="s">
        <v>324</v>
      </c>
      <c r="I16" s="78" t="s">
        <v>619</v>
      </c>
      <c r="J16" s="78" t="s">
        <v>429</v>
      </c>
      <c r="L16" s="117"/>
      <c r="M16" s="116"/>
      <c r="N16" s="116"/>
      <c r="O16" s="116"/>
      <c r="P16" s="116"/>
    </row>
    <row r="17" spans="3:16" x14ac:dyDescent="0.25">
      <c r="C17" s="117" t="s">
        <v>149</v>
      </c>
      <c r="D17" s="116">
        <f>INDEX('ARCH 2024'!$P$33:$AG$37,MATCH($C17,'ARCH 2024'!$O$33:$O$37,0),MATCH($E$14,'ARCH 2024'!$P$32:$AG$32,0))-INDEX('ARCH 2024'!$R$40:$R$44,MATCH('Model Inputs'!$C17,'ARCH 2024'!$O$40:$O$44,0))</f>
        <v>2307.1999999999998</v>
      </c>
      <c r="E17" s="116">
        <f>INDEX('ARCH 2024'!$P$33:$AG$37,MATCH($C17,'ARCH 2024'!$O$33:$O$37,0),MATCH($E$14,'ARCH 2024'!$P$32:$AG$32,0))-INDEX('ARCH 2024'!$R$40:$R$44,MATCH('Model Inputs'!$C17,'ARCH 2024'!$O$40:$O$44,0))</f>
        <v>2307.1999999999998</v>
      </c>
      <c r="F17" s="116">
        <f>INDEX('ARCH 2024'!$P$33:$AG$37,MATCH($C17,'ARCH 2024'!$O$33:$O$37,0),MATCH($E$14,'ARCH 2024'!$P$32:$AG$32,0))-INDEX('ARCH 2024'!$R$40:$R$44,MATCH('Model Inputs'!$C17,'ARCH 2024'!$O$40:$O$44,0))</f>
        <v>2307.1999999999998</v>
      </c>
      <c r="G17" s="104" t="s">
        <v>324</v>
      </c>
      <c r="H17" s="104" t="s">
        <v>324</v>
      </c>
      <c r="I17" s="78" t="s">
        <v>619</v>
      </c>
      <c r="J17" s="78" t="s">
        <v>429</v>
      </c>
      <c r="L17" s="117"/>
      <c r="M17" s="116"/>
      <c r="N17" s="116"/>
      <c r="O17" s="116"/>
      <c r="P17" s="116"/>
    </row>
    <row r="18" spans="3:16" x14ac:dyDescent="0.25">
      <c r="C18" s="117" t="s">
        <v>150</v>
      </c>
      <c r="D18" s="116">
        <f>INDEX('ARCH 2024'!$P$33:$AG$37,MATCH($C18,'ARCH 2024'!$O$33:$O$37,0),MATCH($E$14,'ARCH 2024'!$P$32:$AG$32,0))-INDEX('ARCH 2024'!$R$40:$R$44,MATCH('Model Inputs'!$C18,'ARCH 2024'!$O$40:$O$44,0))</f>
        <v>2663.9199999999996</v>
      </c>
      <c r="E18" s="116">
        <f>INDEX('ARCH 2024'!$P$33:$AG$37,MATCH($C18,'ARCH 2024'!$O$33:$O$37,0),MATCH($E$14,'ARCH 2024'!$P$32:$AG$32,0))-INDEX('ARCH 2024'!$R$40:$R$44,MATCH('Model Inputs'!$C18,'ARCH 2024'!$O$40:$O$44,0))</f>
        <v>2663.9199999999996</v>
      </c>
      <c r="F18" s="116">
        <f>INDEX('ARCH 2024'!$P$33:$AG$37,MATCH($C18,'ARCH 2024'!$O$33:$O$37,0),MATCH($E$14,'ARCH 2024'!$P$32:$AG$32,0))-INDEX('ARCH 2024'!$R$40:$R$44,MATCH('Model Inputs'!$C18,'ARCH 2024'!$O$40:$O$44,0))</f>
        <v>2663.9199999999996</v>
      </c>
      <c r="G18" s="104" t="s">
        <v>324</v>
      </c>
      <c r="H18" s="104" t="s">
        <v>324</v>
      </c>
      <c r="I18" s="78" t="s">
        <v>619</v>
      </c>
      <c r="J18" s="78" t="s">
        <v>429</v>
      </c>
    </row>
    <row r="19" spans="3:16" x14ac:dyDescent="0.25">
      <c r="C19" s="1" t="s">
        <v>334</v>
      </c>
      <c r="D19" s="1"/>
      <c r="E19" s="1"/>
      <c r="F19" s="1"/>
      <c r="G19" s="1"/>
      <c r="H19" s="1"/>
      <c r="I19" s="1"/>
      <c r="J19" s="1"/>
      <c r="M19" s="99"/>
      <c r="N19" s="99"/>
      <c r="O19" s="99"/>
      <c r="P19" s="99"/>
    </row>
    <row r="20" spans="3:16" x14ac:dyDescent="0.25">
      <c r="C20" s="117" t="s">
        <v>160</v>
      </c>
      <c r="D20" s="524" t="str">
        <f>'Input Controls'!E10</f>
        <v>n/a</v>
      </c>
      <c r="E20" s="524" t="str">
        <f>'Input Controls'!F10</f>
        <v>n/a</v>
      </c>
      <c r="F20" s="524" t="str">
        <f>'Input Controls'!G10</f>
        <v>n/a</v>
      </c>
      <c r="G20" s="524">
        <f>'Input Controls'!H10</f>
        <v>48</v>
      </c>
      <c r="H20" s="524">
        <f>'Input Controls'!I10</f>
        <v>45</v>
      </c>
      <c r="I20" s="78" t="s">
        <v>161</v>
      </c>
      <c r="J20" s="78" t="s">
        <v>431</v>
      </c>
    </row>
    <row r="21" spans="3:16" x14ac:dyDescent="0.25">
      <c r="C21" s="117" t="s">
        <v>162</v>
      </c>
      <c r="D21" s="524">
        <f>'Input Controls'!E11</f>
        <v>40</v>
      </c>
      <c r="E21" s="524">
        <f>'Input Controls'!F11</f>
        <v>40</v>
      </c>
      <c r="F21" s="524">
        <f>'Input Controls'!G11</f>
        <v>40</v>
      </c>
      <c r="G21" s="524">
        <f>'Input Controls'!H11</f>
        <v>40</v>
      </c>
      <c r="H21" s="524">
        <f>'Input Controls'!I11</f>
        <v>40</v>
      </c>
      <c r="I21" s="78" t="s">
        <v>163</v>
      </c>
      <c r="J21" s="78" t="s">
        <v>431</v>
      </c>
    </row>
    <row r="22" spans="3:16" x14ac:dyDescent="0.25">
      <c r="C22" s="1" t="s">
        <v>336</v>
      </c>
      <c r="D22" s="1"/>
      <c r="E22" s="1"/>
      <c r="F22" s="1"/>
      <c r="G22" s="1"/>
      <c r="H22" s="1"/>
      <c r="I22" s="1"/>
      <c r="J22" s="1"/>
    </row>
    <row r="23" spans="3:16" x14ac:dyDescent="0.25">
      <c r="C23" s="117" t="s">
        <v>160</v>
      </c>
      <c r="D23" s="524" t="str">
        <f>'Input Controls'!E13</f>
        <v>n/a</v>
      </c>
      <c r="E23" s="524" t="str">
        <f>'Input Controls'!F13</f>
        <v>n/a</v>
      </c>
      <c r="F23" s="524" t="str">
        <f>'Input Controls'!G13</f>
        <v>n/a</v>
      </c>
      <c r="G23" s="524" t="str">
        <f>'Input Controls'!H13</f>
        <v>n/a</v>
      </c>
      <c r="H23" s="524" t="str">
        <f>'Input Controls'!I13</f>
        <v>n/a</v>
      </c>
    </row>
    <row r="24" spans="3:16" x14ac:dyDescent="0.25">
      <c r="C24" s="117" t="s">
        <v>162</v>
      </c>
      <c r="D24" s="524">
        <f>'Input Controls'!E14</f>
        <v>20</v>
      </c>
      <c r="E24" s="524">
        <f>'Input Controls'!F14</f>
        <v>20</v>
      </c>
      <c r="F24" s="524">
        <f>'Input Controls'!G14</f>
        <v>20</v>
      </c>
      <c r="G24" s="524">
        <f>'Input Controls'!H14</f>
        <v>20</v>
      </c>
      <c r="H24" s="524">
        <f>'Input Controls'!I14</f>
        <v>20</v>
      </c>
      <c r="J24" s="78" t="s">
        <v>432</v>
      </c>
    </row>
    <row r="25" spans="3:16" x14ac:dyDescent="0.25">
      <c r="C25" s="1" t="s">
        <v>165</v>
      </c>
      <c r="D25" s="1"/>
      <c r="E25" s="1"/>
      <c r="F25" s="1"/>
      <c r="G25" s="1"/>
      <c r="H25" s="1"/>
      <c r="I25" s="1"/>
      <c r="J25" s="1"/>
    </row>
    <row r="26" spans="3:16" x14ac:dyDescent="0.25">
      <c r="C26" s="117" t="s">
        <v>166</v>
      </c>
    </row>
    <row r="27" spans="3:16" x14ac:dyDescent="0.25">
      <c r="C27" s="95" t="s">
        <v>338</v>
      </c>
      <c r="D27" s="524">
        <f>'Input Controls'!E17</f>
        <v>50</v>
      </c>
      <c r="E27" s="524">
        <f>'Input Controls'!F17</f>
        <v>50</v>
      </c>
      <c r="F27" s="524">
        <f>'Input Controls'!G17</f>
        <v>50</v>
      </c>
      <c r="G27" s="524" t="str">
        <f>'Input Controls'!H17</f>
        <v>n/a</v>
      </c>
      <c r="H27" s="524" t="str">
        <f>'Input Controls'!I17</f>
        <v>n/a</v>
      </c>
      <c r="I27" s="78" t="s">
        <v>167</v>
      </c>
      <c r="J27" s="78" t="s">
        <v>337</v>
      </c>
    </row>
    <row r="28" spans="3:16" x14ac:dyDescent="0.25">
      <c r="C28" s="95" t="s">
        <v>327</v>
      </c>
      <c r="D28" s="524">
        <f>'Input Controls'!E18</f>
        <v>235</v>
      </c>
      <c r="E28" s="524">
        <f>'Input Controls'!F18</f>
        <v>235</v>
      </c>
      <c r="F28" s="524">
        <f>'Input Controls'!G18</f>
        <v>235</v>
      </c>
      <c r="G28" s="524" t="str">
        <f>'Input Controls'!H18</f>
        <v>n/a</v>
      </c>
      <c r="H28" s="524" t="str">
        <f>'Input Controls'!I18</f>
        <v>n/a</v>
      </c>
      <c r="I28" s="78" t="s">
        <v>167</v>
      </c>
      <c r="J28" s="78" t="s">
        <v>337</v>
      </c>
    </row>
    <row r="29" spans="3:16" x14ac:dyDescent="0.25">
      <c r="C29" s="117" t="s">
        <v>199</v>
      </c>
      <c r="D29" s="116"/>
      <c r="E29" s="116"/>
      <c r="F29" s="116"/>
      <c r="G29" s="116"/>
      <c r="H29" s="116"/>
    </row>
    <row r="30" spans="3:16" x14ac:dyDescent="0.25">
      <c r="C30" s="95" t="s">
        <v>160</v>
      </c>
    </row>
    <row r="31" spans="3:16" x14ac:dyDescent="0.25">
      <c r="C31" s="402" t="s">
        <v>338</v>
      </c>
      <c r="D31" s="524" t="str">
        <f>'Input Controls'!E20</f>
        <v>n/a</v>
      </c>
      <c r="E31" s="524" t="str">
        <f>'Input Controls'!F20</f>
        <v>n/a</v>
      </c>
      <c r="F31" s="524" t="str">
        <f>'Input Controls'!G20</f>
        <v>n/a</v>
      </c>
      <c r="G31" s="524">
        <f>'Input Controls'!H20</f>
        <v>50</v>
      </c>
      <c r="H31" s="524">
        <f>'Input Controls'!I20</f>
        <v>50</v>
      </c>
      <c r="I31" s="78" t="s">
        <v>167</v>
      </c>
      <c r="J31" s="78" t="s">
        <v>337</v>
      </c>
    </row>
    <row r="32" spans="3:16" x14ac:dyDescent="0.25">
      <c r="C32" s="402" t="s">
        <v>327</v>
      </c>
      <c r="D32" s="524" t="str">
        <f>'Input Controls'!E21</f>
        <v>n/a</v>
      </c>
      <c r="E32" s="524" t="str">
        <f>'Input Controls'!F21</f>
        <v>n/a</v>
      </c>
      <c r="F32" s="524" t="str">
        <f>'Input Controls'!G21</f>
        <v>n/a</v>
      </c>
      <c r="G32" s="524">
        <f>'Input Controls'!H21</f>
        <v>200</v>
      </c>
      <c r="H32" s="524">
        <f>'Input Controls'!I21</f>
        <v>200</v>
      </c>
      <c r="I32" s="78" t="s">
        <v>167</v>
      </c>
      <c r="J32" s="78" t="s">
        <v>337</v>
      </c>
    </row>
    <row r="33" spans="3:10" x14ac:dyDescent="0.25">
      <c r="C33" s="95" t="s">
        <v>162</v>
      </c>
      <c r="D33" s="525"/>
      <c r="E33" s="525"/>
      <c r="F33" s="525"/>
      <c r="G33" s="525"/>
      <c r="H33" s="525"/>
    </row>
    <row r="34" spans="3:10" x14ac:dyDescent="0.25">
      <c r="C34" s="402" t="s">
        <v>338</v>
      </c>
      <c r="D34" s="526">
        <v>0</v>
      </c>
      <c r="E34" s="526">
        <v>0</v>
      </c>
      <c r="F34" s="526">
        <v>0</v>
      </c>
      <c r="G34" s="526">
        <v>0</v>
      </c>
      <c r="H34" s="526">
        <v>0</v>
      </c>
      <c r="I34" s="78" t="s">
        <v>167</v>
      </c>
      <c r="J34" s="78" t="s">
        <v>337</v>
      </c>
    </row>
    <row r="35" spans="3:10" x14ac:dyDescent="0.25">
      <c r="C35" s="402" t="s">
        <v>327</v>
      </c>
      <c r="D35" s="526">
        <v>0</v>
      </c>
      <c r="E35" s="526">
        <v>0</v>
      </c>
      <c r="F35" s="526">
        <v>0</v>
      </c>
      <c r="G35" s="526">
        <v>0</v>
      </c>
      <c r="H35" s="526">
        <v>0</v>
      </c>
      <c r="I35" s="78" t="s">
        <v>167</v>
      </c>
      <c r="J35" s="78" t="s">
        <v>337</v>
      </c>
    </row>
    <row r="36" spans="3:10" x14ac:dyDescent="0.25">
      <c r="C36" s="1" t="s">
        <v>433</v>
      </c>
      <c r="D36" s="1"/>
      <c r="E36" s="1"/>
      <c r="F36" s="1"/>
      <c r="G36" s="1"/>
      <c r="H36" s="1"/>
      <c r="I36" s="1"/>
      <c r="J36" s="1"/>
    </row>
    <row r="37" spans="3:10" x14ac:dyDescent="0.25">
      <c r="C37" s="78" t="s">
        <v>169</v>
      </c>
    </row>
    <row r="38" spans="3:10" x14ac:dyDescent="0.25">
      <c r="C38" s="117" t="s">
        <v>166</v>
      </c>
      <c r="D38" s="442">
        <f>'Input Controls'!E23</f>
        <v>0.05</v>
      </c>
      <c r="E38" s="442">
        <f>'Input Controls'!F23</f>
        <v>0.05</v>
      </c>
      <c r="F38" s="442">
        <f>'Input Controls'!G23</f>
        <v>0.05</v>
      </c>
      <c r="G38" s="442" t="str">
        <f>'Input Controls'!H23</f>
        <v>n/a</v>
      </c>
      <c r="H38" s="442" t="str">
        <f>'Input Controls'!I23</f>
        <v>n/a</v>
      </c>
      <c r="J38" s="78" t="s">
        <v>431</v>
      </c>
    </row>
    <row r="39" spans="3:10" x14ac:dyDescent="0.25">
      <c r="C39" s="117" t="s">
        <v>160</v>
      </c>
      <c r="D39" s="442" t="str">
        <f>'Input Controls'!E24</f>
        <v>n/a</v>
      </c>
      <c r="E39" s="442" t="str">
        <f>'Input Controls'!F24</f>
        <v>n/a</v>
      </c>
      <c r="F39" s="442" t="str">
        <f>'Input Controls'!G24</f>
        <v>n/a</v>
      </c>
      <c r="G39" s="442">
        <f>'Input Controls'!H24</f>
        <v>0.1</v>
      </c>
      <c r="H39" s="442">
        <f>'Input Controls'!I24</f>
        <v>0.1</v>
      </c>
      <c r="J39" s="78" t="s">
        <v>337</v>
      </c>
    </row>
    <row r="40" spans="3:10" x14ac:dyDescent="0.25">
      <c r="C40" s="117" t="s">
        <v>162</v>
      </c>
      <c r="D40" s="442">
        <f>'Input Controls'!E25</f>
        <v>0.2</v>
      </c>
      <c r="E40" s="442">
        <f>'Input Controls'!F25</f>
        <v>0.2</v>
      </c>
      <c r="F40" s="442">
        <f>'Input Controls'!G25</f>
        <v>0.2</v>
      </c>
      <c r="G40" s="442">
        <f>'Input Controls'!H25</f>
        <v>0.2</v>
      </c>
      <c r="H40" s="442">
        <f>'Input Controls'!I25</f>
        <v>0.2</v>
      </c>
      <c r="J40" s="78" t="s">
        <v>337</v>
      </c>
    </row>
    <row r="41" spans="3:10" x14ac:dyDescent="0.25">
      <c r="C41" s="78" t="s">
        <v>170</v>
      </c>
      <c r="D41" s="56">
        <v>0.3</v>
      </c>
      <c r="E41" s="56">
        <v>0.3</v>
      </c>
      <c r="F41" s="56">
        <v>0.3</v>
      </c>
      <c r="G41" s="56">
        <v>0.35</v>
      </c>
      <c r="H41" s="56">
        <v>0.35</v>
      </c>
      <c r="I41" s="99" t="s">
        <v>434</v>
      </c>
      <c r="J41" s="99" t="s">
        <v>337</v>
      </c>
    </row>
    <row r="42" spans="3:10" x14ac:dyDescent="0.25">
      <c r="C42" s="1" t="s">
        <v>56</v>
      </c>
      <c r="D42" s="1"/>
      <c r="E42" s="1"/>
      <c r="F42" s="1"/>
      <c r="G42" s="1"/>
      <c r="H42" s="1"/>
      <c r="I42" s="1"/>
      <c r="J42" s="1"/>
    </row>
    <row r="43" spans="3:10" x14ac:dyDescent="0.25">
      <c r="C43" s="78" t="s">
        <v>173</v>
      </c>
      <c r="D43" s="565">
        <v>30</v>
      </c>
      <c r="E43" s="565">
        <v>30</v>
      </c>
      <c r="F43" s="565">
        <v>30</v>
      </c>
      <c r="G43" s="565">
        <v>30</v>
      </c>
      <c r="H43" s="565">
        <v>30</v>
      </c>
      <c r="I43" s="78" t="s">
        <v>435</v>
      </c>
      <c r="J43" s="78" t="s">
        <v>337</v>
      </c>
    </row>
    <row r="44" spans="3:10" x14ac:dyDescent="0.25">
      <c r="C44" s="78" t="s">
        <v>347</v>
      </c>
      <c r="D44" s="527">
        <f>'Input Controls'!E31</f>
        <v>7.4999999999999997E-2</v>
      </c>
      <c r="E44" s="527">
        <f>'Input Controls'!F31</f>
        <v>7.4999999999999997E-2</v>
      </c>
      <c r="F44" s="527">
        <f>'Input Controls'!G31</f>
        <v>7.4999999999999997E-2</v>
      </c>
      <c r="G44" s="527">
        <f>'Input Controls'!H31</f>
        <v>7.4999999999999997E-2</v>
      </c>
      <c r="H44" s="527">
        <f>'Input Controls'!I31</f>
        <v>7.4999999999999997E-2</v>
      </c>
      <c r="J44" s="78" t="s">
        <v>337</v>
      </c>
    </row>
    <row r="45" spans="3:10" x14ac:dyDescent="0.25">
      <c r="C45" s="78" t="s">
        <v>175</v>
      </c>
      <c r="D45" s="56">
        <v>0.55000000000000004</v>
      </c>
      <c r="E45" s="56">
        <v>0.55000000000000004</v>
      </c>
      <c r="F45" s="56">
        <v>0.55000000000000004</v>
      </c>
      <c r="G45" s="56">
        <v>0.55000000000000004</v>
      </c>
      <c r="H45" s="56">
        <v>0.55000000000000004</v>
      </c>
      <c r="J45" s="78" t="s">
        <v>337</v>
      </c>
    </row>
    <row r="46" spans="3:10" x14ac:dyDescent="0.25">
      <c r="C46" s="1" t="s">
        <v>176</v>
      </c>
      <c r="D46" s="1"/>
      <c r="E46" s="1"/>
      <c r="F46" s="1"/>
      <c r="G46" s="1"/>
      <c r="H46" s="1"/>
      <c r="I46" s="1"/>
      <c r="J46" s="1"/>
    </row>
    <row r="47" spans="3:10" x14ac:dyDescent="0.25">
      <c r="C47" s="124" t="s">
        <v>177</v>
      </c>
      <c r="D47" s="528">
        <f>'Input Controls'!E27</f>
        <v>468.35</v>
      </c>
      <c r="E47" s="528">
        <f>'Input Controls'!F27</f>
        <v>314.07000000000005</v>
      </c>
      <c r="F47" s="528">
        <f>'Input Controls'!G27</f>
        <v>468.35</v>
      </c>
      <c r="G47" s="528">
        <f>'Input Controls'!H27</f>
        <v>340</v>
      </c>
      <c r="H47" s="528">
        <f>'Input Controls'!I27</f>
        <v>400</v>
      </c>
      <c r="I47" s="124" t="s">
        <v>341</v>
      </c>
      <c r="J47" s="124" t="s">
        <v>436</v>
      </c>
    </row>
    <row r="48" spans="3:10" x14ac:dyDescent="0.25">
      <c r="C48" s="78" t="s">
        <v>437</v>
      </c>
      <c r="D48" s="526">
        <v>5000</v>
      </c>
      <c r="E48" s="526">
        <v>5000</v>
      </c>
      <c r="F48" s="526">
        <v>5000</v>
      </c>
      <c r="G48" s="526">
        <v>5000</v>
      </c>
      <c r="H48" s="526">
        <v>5000</v>
      </c>
      <c r="I48" s="78" t="s">
        <v>344</v>
      </c>
      <c r="J48" s="78" t="s">
        <v>337</v>
      </c>
    </row>
    <row r="49" spans="3:11" x14ac:dyDescent="0.25">
      <c r="C49" s="78" t="s">
        <v>343</v>
      </c>
      <c r="D49" s="528">
        <f>'Input Controls'!E28</f>
        <v>99180.000000000015</v>
      </c>
      <c r="E49" s="528">
        <f>'Input Controls'!F28</f>
        <v>82650</v>
      </c>
      <c r="F49" s="528">
        <f>'Input Controls'!G28</f>
        <v>82650</v>
      </c>
      <c r="G49" s="528">
        <f>'Input Controls'!H28</f>
        <v>82650</v>
      </c>
      <c r="H49" s="528">
        <f>'Input Controls'!I28</f>
        <v>99180</v>
      </c>
      <c r="I49" s="78" t="s">
        <v>344</v>
      </c>
      <c r="J49" s="78" t="s">
        <v>337</v>
      </c>
    </row>
    <row r="50" spans="3:11" x14ac:dyDescent="0.25">
      <c r="C50" s="78" t="s">
        <v>179</v>
      </c>
      <c r="D50" s="56">
        <v>0.25</v>
      </c>
      <c r="E50" s="56">
        <v>0.25</v>
      </c>
      <c r="F50" s="56">
        <v>0.25</v>
      </c>
      <c r="G50" s="56">
        <v>0.25</v>
      </c>
      <c r="H50" s="56">
        <v>0.25</v>
      </c>
      <c r="I50" s="78" t="s">
        <v>438</v>
      </c>
      <c r="J50" s="78" t="s">
        <v>337</v>
      </c>
    </row>
    <row r="51" spans="3:11" x14ac:dyDescent="0.25">
      <c r="C51" s="78" t="s">
        <v>180</v>
      </c>
      <c r="D51" s="56">
        <v>0.1</v>
      </c>
      <c r="E51" s="56">
        <v>0.1</v>
      </c>
      <c r="F51" s="56">
        <v>0.1</v>
      </c>
      <c r="G51" s="56">
        <v>0.05</v>
      </c>
      <c r="H51" s="56">
        <v>0.05</v>
      </c>
      <c r="I51" s="78" t="s">
        <v>438</v>
      </c>
      <c r="J51" s="78" t="s">
        <v>337</v>
      </c>
    </row>
    <row r="52" spans="3:11" x14ac:dyDescent="0.25">
      <c r="C52" s="78" t="s">
        <v>181</v>
      </c>
      <c r="D52" s="99"/>
      <c r="E52" s="99"/>
      <c r="F52" s="99"/>
      <c r="G52" s="99"/>
      <c r="H52" s="99"/>
    </row>
    <row r="53" spans="3:11" x14ac:dyDescent="0.25">
      <c r="C53" s="117" t="s">
        <v>160</v>
      </c>
      <c r="D53" s="566" t="s">
        <v>324</v>
      </c>
      <c r="E53" s="566" t="s">
        <v>324</v>
      </c>
      <c r="F53" s="566" t="s">
        <v>324</v>
      </c>
      <c r="G53" s="566">
        <v>100</v>
      </c>
      <c r="H53" s="566">
        <v>100</v>
      </c>
      <c r="I53" s="165" t="s">
        <v>439</v>
      </c>
      <c r="J53" s="165" t="s">
        <v>337</v>
      </c>
    </row>
    <row r="54" spans="3:11" x14ac:dyDescent="0.25">
      <c r="C54" s="117" t="s">
        <v>162</v>
      </c>
      <c r="D54" s="566">
        <v>100</v>
      </c>
      <c r="E54" s="566">
        <v>100</v>
      </c>
      <c r="F54" s="566">
        <v>100</v>
      </c>
      <c r="G54" s="566">
        <v>100</v>
      </c>
      <c r="H54" s="566">
        <v>100</v>
      </c>
      <c r="I54" s="78" t="s">
        <v>439</v>
      </c>
      <c r="J54" s="78" t="s">
        <v>337</v>
      </c>
    </row>
    <row r="55" spans="3:11" x14ac:dyDescent="0.25">
      <c r="C55" s="78" t="s">
        <v>440</v>
      </c>
      <c r="D55" s="56">
        <v>1</v>
      </c>
      <c r="E55" s="56">
        <v>1</v>
      </c>
      <c r="F55" s="56">
        <v>1</v>
      </c>
      <c r="G55" s="56">
        <v>1</v>
      </c>
      <c r="H55" s="56">
        <v>1</v>
      </c>
      <c r="I55" s="78" t="s">
        <v>358</v>
      </c>
      <c r="J55" s="78" t="s">
        <v>337</v>
      </c>
    </row>
    <row r="56" spans="3:11" x14ac:dyDescent="0.25">
      <c r="C56" s="78" t="s">
        <v>182</v>
      </c>
      <c r="D56" s="566">
        <v>10</v>
      </c>
      <c r="E56" s="566">
        <v>10</v>
      </c>
      <c r="F56" s="566">
        <v>10</v>
      </c>
      <c r="G56" s="566">
        <v>10</v>
      </c>
      <c r="H56" s="566">
        <v>10</v>
      </c>
      <c r="I56" s="78" t="s">
        <v>341</v>
      </c>
      <c r="J56" s="78" t="s">
        <v>337</v>
      </c>
    </row>
    <row r="57" spans="3:11" x14ac:dyDescent="0.25">
      <c r="C57" s="78" t="s">
        <v>183</v>
      </c>
      <c r="D57" s="566">
        <v>5</v>
      </c>
      <c r="E57" s="566">
        <v>5</v>
      </c>
      <c r="F57" s="566">
        <v>5</v>
      </c>
      <c r="G57" s="566">
        <v>5</v>
      </c>
      <c r="H57" s="566">
        <v>5</v>
      </c>
      <c r="I57" s="78" t="s">
        <v>341</v>
      </c>
      <c r="J57" s="78" t="s">
        <v>337</v>
      </c>
    </row>
    <row r="58" spans="3:11" x14ac:dyDescent="0.25">
      <c r="C58" s="124" t="s">
        <v>400</v>
      </c>
      <c r="D58" s="566">
        <v>300</v>
      </c>
      <c r="E58" s="566">
        <v>150</v>
      </c>
      <c r="F58" s="566">
        <v>240</v>
      </c>
      <c r="G58" s="566">
        <v>150</v>
      </c>
      <c r="H58" s="566">
        <v>240</v>
      </c>
      <c r="I58" s="130"/>
      <c r="J58" s="124" t="s">
        <v>337</v>
      </c>
    </row>
    <row r="59" spans="3:11" x14ac:dyDescent="0.25">
      <c r="C59" s="124" t="s">
        <v>441</v>
      </c>
      <c r="D59" s="566">
        <v>25</v>
      </c>
      <c r="E59" s="566">
        <v>25</v>
      </c>
      <c r="F59" s="566">
        <v>25</v>
      </c>
      <c r="G59" s="566">
        <v>25</v>
      </c>
      <c r="H59" s="566">
        <v>25</v>
      </c>
      <c r="I59" s="78" t="s">
        <v>341</v>
      </c>
      <c r="J59" s="124" t="s">
        <v>337</v>
      </c>
    </row>
    <row r="60" spans="3:11" x14ac:dyDescent="0.25">
      <c r="C60" s="124" t="s">
        <v>442</v>
      </c>
      <c r="D60" s="566">
        <v>9</v>
      </c>
      <c r="E60" s="566">
        <v>9</v>
      </c>
      <c r="F60" s="566">
        <v>9</v>
      </c>
      <c r="G60" s="566">
        <v>9</v>
      </c>
      <c r="H60" s="566">
        <v>9</v>
      </c>
      <c r="I60" s="78" t="s">
        <v>341</v>
      </c>
      <c r="J60" s="124" t="s">
        <v>443</v>
      </c>
    </row>
    <row r="61" spans="3:11" x14ac:dyDescent="0.25">
      <c r="C61" s="124" t="s">
        <v>444</v>
      </c>
      <c r="D61" s="566">
        <v>1466</v>
      </c>
      <c r="E61" s="566">
        <v>3009</v>
      </c>
      <c r="F61" s="566">
        <v>1466</v>
      </c>
      <c r="G61" s="571">
        <v>9.09</v>
      </c>
      <c r="H61" s="571">
        <v>25.88</v>
      </c>
      <c r="I61" s="78" t="s">
        <v>445</v>
      </c>
      <c r="J61" s="78" t="s">
        <v>446</v>
      </c>
      <c r="K61" s="78" t="s">
        <v>447</v>
      </c>
    </row>
    <row r="62" spans="3:11" x14ac:dyDescent="0.25">
      <c r="C62" s="78" t="s">
        <v>448</v>
      </c>
      <c r="D62" s="578">
        <v>7.0999999999999995E-3</v>
      </c>
      <c r="E62" s="578">
        <v>7.0999999999999995E-3</v>
      </c>
      <c r="F62" s="578">
        <v>7.0999999999999995E-3</v>
      </c>
      <c r="G62" s="578">
        <v>7.0999999999999995E-3</v>
      </c>
      <c r="H62" s="578">
        <v>7.0999999999999995E-3</v>
      </c>
      <c r="J62" s="78" t="s">
        <v>449</v>
      </c>
      <c r="K62" s="78" t="s">
        <v>447</v>
      </c>
    </row>
    <row r="63" spans="3:11" x14ac:dyDescent="0.25">
      <c r="C63" s="78" t="s">
        <v>450</v>
      </c>
      <c r="D63" s="578">
        <v>0.01</v>
      </c>
      <c r="E63" s="578">
        <v>0.01</v>
      </c>
      <c r="F63" s="578">
        <v>0.01</v>
      </c>
      <c r="G63" s="578">
        <v>0.01</v>
      </c>
      <c r="H63" s="578">
        <v>0.01</v>
      </c>
      <c r="J63" s="78" t="s">
        <v>337</v>
      </c>
    </row>
    <row r="64" spans="3:11" x14ac:dyDescent="0.25">
      <c r="C64" s="1" t="s">
        <v>184</v>
      </c>
      <c r="D64" s="1"/>
      <c r="E64" s="1"/>
      <c r="F64" s="1"/>
      <c r="G64" s="1"/>
      <c r="H64" s="1"/>
      <c r="I64" s="1"/>
      <c r="J64" s="1"/>
    </row>
    <row r="65" spans="3:10" ht="14.4" thickBot="1" x14ac:dyDescent="0.3">
      <c r="C65" s="158" t="s">
        <v>185</v>
      </c>
      <c r="D65" s="529">
        <f>'Input Controls'!E30</f>
        <v>4.7500000000000001E-2</v>
      </c>
      <c r="E65" s="529">
        <f>'Input Controls'!F30</f>
        <v>4.7500000000000001E-2</v>
      </c>
      <c r="F65" s="529">
        <f>'Input Controls'!G30</f>
        <v>4.7500000000000001E-2</v>
      </c>
      <c r="G65" s="529">
        <f>'Input Controls'!H30</f>
        <v>7.0000000000000007E-2</v>
      </c>
      <c r="H65" s="529">
        <f>'Input Controls'!I30</f>
        <v>7.0000000000000007E-2</v>
      </c>
      <c r="I65" s="84"/>
      <c r="J65" s="84" t="s">
        <v>451</v>
      </c>
    </row>
    <row r="67" spans="3:10" x14ac:dyDescent="0.25">
      <c r="D67" s="151"/>
      <c r="E67" s="151"/>
      <c r="F67" s="151"/>
      <c r="G67" s="151"/>
      <c r="H67" s="151"/>
    </row>
    <row r="68" spans="3:10" x14ac:dyDescent="0.25">
      <c r="D68" s="151"/>
      <c r="E68" s="151"/>
      <c r="F68" s="15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B727-784C-4085-8F2B-60C0C85B82C0}">
  <sheetPr codeName="Sheet161">
    <tabColor theme="7"/>
  </sheetPr>
  <dimension ref="B2:O64"/>
  <sheetViews>
    <sheetView workbookViewId="0">
      <selection activeCell="O54" sqref="O54"/>
    </sheetView>
  </sheetViews>
  <sheetFormatPr defaultColWidth="8.69921875" defaultRowHeight="13.8" x14ac:dyDescent="0.25"/>
  <cols>
    <col min="1" max="1" width="8.69921875" style="78"/>
    <col min="2" max="2" width="17.19921875" style="78" customWidth="1"/>
    <col min="3" max="3" width="11.69921875" style="78" customWidth="1"/>
    <col min="4" max="4" width="13.5" style="78" customWidth="1"/>
    <col min="5" max="5" width="12.19921875" style="78" customWidth="1"/>
    <col min="6" max="6" width="14.69921875" style="78" customWidth="1"/>
    <col min="7" max="7" width="15.09765625" style="78" customWidth="1"/>
    <col min="8" max="8" width="8.69921875" style="78"/>
    <col min="9" max="9" width="15.59765625" style="78" bestFit="1" customWidth="1"/>
    <col min="10" max="10" width="11.19921875" style="78" customWidth="1"/>
    <col min="11" max="11" width="12.19921875" style="78" customWidth="1"/>
    <col min="12" max="12" width="12.8984375" style="78" customWidth="1"/>
    <col min="13" max="13" width="15.3984375" style="78" customWidth="1"/>
    <col min="14" max="14" width="15.5" style="78" customWidth="1"/>
    <col min="15" max="16384" width="8.69921875" style="78"/>
  </cols>
  <sheetData>
    <row r="2" spans="2:7" ht="15" x14ac:dyDescent="0.25">
      <c r="B2" s="166" t="s">
        <v>139</v>
      </c>
      <c r="C2" s="174"/>
      <c r="D2" s="338"/>
      <c r="E2" s="338"/>
      <c r="F2" s="338"/>
      <c r="G2" s="338"/>
    </row>
    <row r="3" spans="2:7" ht="15.6" thickBot="1" x14ac:dyDescent="0.3">
      <c r="B3" s="166"/>
    </row>
    <row r="4" spans="2:7" ht="41.4" x14ac:dyDescent="0.25">
      <c r="B4" s="263" t="s">
        <v>452</v>
      </c>
      <c r="C4" s="262" t="s">
        <v>125</v>
      </c>
      <c r="D4" s="262" t="s">
        <v>126</v>
      </c>
      <c r="E4" s="262" t="s">
        <v>128</v>
      </c>
      <c r="F4" s="262" t="s">
        <v>130</v>
      </c>
      <c r="G4" s="262" t="s">
        <v>132</v>
      </c>
    </row>
    <row r="5" spans="2:7" x14ac:dyDescent="0.25">
      <c r="B5" s="167" t="s">
        <v>146</v>
      </c>
      <c r="C5" s="99">
        <f>'Prototype Inputs'!C37</f>
        <v>0.3</v>
      </c>
      <c r="D5" s="99">
        <f>'Prototype Inputs'!D37</f>
        <v>0.3</v>
      </c>
      <c r="E5" s="99">
        <f>'Prototype Inputs'!E37</f>
        <v>0.3</v>
      </c>
      <c r="F5" s="144" t="str">
        <f>'Prototype Inputs'!F37</f>
        <v>n/a</v>
      </c>
      <c r="G5" s="144" t="str">
        <f>'Prototype Inputs'!G37</f>
        <v>n/a</v>
      </c>
    </row>
    <row r="6" spans="2:7" x14ac:dyDescent="0.25">
      <c r="B6" s="167" t="s">
        <v>148</v>
      </c>
      <c r="C6" s="99">
        <f>'Prototype Inputs'!C38</f>
        <v>0.6</v>
      </c>
      <c r="D6" s="99">
        <f>'Prototype Inputs'!D38</f>
        <v>0.6</v>
      </c>
      <c r="E6" s="99">
        <f>'Prototype Inputs'!E38</f>
        <v>0.6</v>
      </c>
      <c r="F6" s="144" t="str">
        <f>'Prototype Inputs'!F38</f>
        <v>n/a</v>
      </c>
      <c r="G6" s="144" t="str">
        <f>'Prototype Inputs'!G38</f>
        <v>n/a</v>
      </c>
    </row>
    <row r="7" spans="2:7" x14ac:dyDescent="0.25">
      <c r="B7" s="167" t="s">
        <v>149</v>
      </c>
      <c r="C7" s="99">
        <f>'Prototype Inputs'!C39</f>
        <v>0.1</v>
      </c>
      <c r="D7" s="99">
        <f>'Prototype Inputs'!D39</f>
        <v>0.1</v>
      </c>
      <c r="E7" s="99">
        <f>'Prototype Inputs'!E39</f>
        <v>0.1</v>
      </c>
      <c r="F7" s="144" t="str">
        <f>'Prototype Inputs'!F39</f>
        <v>n/a</v>
      </c>
      <c r="G7" s="144" t="str">
        <f>'Prototype Inputs'!G39</f>
        <v>n/a</v>
      </c>
    </row>
    <row r="8" spans="2:7" ht="14.4" thickBot="1" x14ac:dyDescent="0.3">
      <c r="B8" s="168" t="s">
        <v>150</v>
      </c>
      <c r="C8" s="169">
        <f>'Prototype Inputs'!C40</f>
        <v>0</v>
      </c>
      <c r="D8" s="169">
        <f>'Prototype Inputs'!D40</f>
        <v>0</v>
      </c>
      <c r="E8" s="169">
        <f>'Prototype Inputs'!E40</f>
        <v>0</v>
      </c>
      <c r="F8" s="170" t="str">
        <f>'Prototype Inputs'!F40</f>
        <v>n/a</v>
      </c>
      <c r="G8" s="170" t="str">
        <f>'Prototype Inputs'!G40</f>
        <v>n/a</v>
      </c>
    </row>
    <row r="9" spans="2:7" ht="14.4" thickBot="1" x14ac:dyDescent="0.3"/>
    <row r="10" spans="2:7" ht="41.4" x14ac:dyDescent="0.25">
      <c r="B10" s="263" t="s">
        <v>453</v>
      </c>
      <c r="C10" s="262" t="s">
        <v>125</v>
      </c>
      <c r="D10" s="262" t="s">
        <v>126</v>
      </c>
      <c r="E10" s="262" t="s">
        <v>128</v>
      </c>
      <c r="F10" s="262" t="s">
        <v>130</v>
      </c>
      <c r="G10" s="262" t="s">
        <v>132</v>
      </c>
    </row>
    <row r="11" spans="2:7" x14ac:dyDescent="0.25">
      <c r="B11" s="1" t="s">
        <v>374</v>
      </c>
      <c r="C11" s="47"/>
      <c r="D11" s="47"/>
      <c r="E11" s="47"/>
      <c r="F11" s="47"/>
      <c r="G11" s="47"/>
    </row>
    <row r="12" spans="2:7" x14ac:dyDescent="0.25">
      <c r="B12" s="167" t="s">
        <v>146</v>
      </c>
      <c r="C12" s="103" t="str">
        <f>IF('Model Controls'!$E$2='Unit Mix'!C$4,IFERROR(ROUNDDOWN(C5*C$16,0),"n/a"),"")</f>
        <v/>
      </c>
      <c r="D12" s="103">
        <f>IF('Model Controls'!$E$2='Unit Mix'!D$4,IFERROR(ROUNDDOWN(D5*D$16,0),"n/a"),"")</f>
        <v>40</v>
      </c>
      <c r="E12" s="103" t="str">
        <f>IF('Model Controls'!$E$2='Unit Mix'!E$4,IFERROR(ROUNDDOWN(E5*E$16,0),"n/a"),"")</f>
        <v/>
      </c>
      <c r="F12" s="103" t="str">
        <f>IF('Model Controls'!$E$2='Unit Mix'!F$4,IFERROR(ROUNDDOWN(F5*F$16,0),"n/a"),"")</f>
        <v/>
      </c>
      <c r="G12" s="103" t="str">
        <f>IF('Model Controls'!$E$2='Unit Mix'!G$4,IFERROR(ROUNDDOWN(G5*G$16,0),"n/a"),"")</f>
        <v/>
      </c>
    </row>
    <row r="13" spans="2:7" x14ac:dyDescent="0.25">
      <c r="B13" s="167" t="s">
        <v>148</v>
      </c>
      <c r="C13" s="103" t="str">
        <f>IF('Model Controls'!$E$2='Unit Mix'!C$4,IFERROR(C16-SUM(C12,C14:C15),"n/a"),"")</f>
        <v/>
      </c>
      <c r="D13" s="103">
        <f>IF('Model Controls'!$E$2='Unit Mix'!D$4,IFERROR(D16-SUM(D12,D14:D15),"n/a"),"")</f>
        <v>83</v>
      </c>
      <c r="E13" s="103" t="str">
        <f>IF('Model Controls'!$E$2='Unit Mix'!E$4,IFERROR(E16-SUM(E12,E14:E15),"n/a"),"")</f>
        <v/>
      </c>
      <c r="F13" s="103" t="str">
        <f>IF('Model Controls'!$E$2='Unit Mix'!F$4,IFERROR(F16-SUM(F12,F14:F15),"n/a"),"")</f>
        <v/>
      </c>
      <c r="G13" s="103" t="str">
        <f>IF('Model Controls'!$E$2='Unit Mix'!G$4,IFERROR(G16-SUM(G12,G14:G15),"n/a"),"")</f>
        <v/>
      </c>
    </row>
    <row r="14" spans="2:7" x14ac:dyDescent="0.25">
      <c r="B14" s="167" t="s">
        <v>149</v>
      </c>
      <c r="C14" s="103" t="str">
        <f>IF('Model Controls'!$E$2='Unit Mix'!C$4,IFERROR(ROUNDDOWN(C7*C$16,0),"n/a"),"")</f>
        <v/>
      </c>
      <c r="D14" s="103">
        <f>IF('Model Controls'!$E$2='Unit Mix'!D$4,IFERROR(ROUNDDOWN(D7*D$16,0),"n/a"),"")</f>
        <v>13</v>
      </c>
      <c r="E14" s="103" t="str">
        <f>IF('Model Controls'!$E$2='Unit Mix'!E$4,IFERROR(ROUNDDOWN(E7*E$16,0),"n/a"),"")</f>
        <v/>
      </c>
      <c r="F14" s="103" t="str">
        <f>IF('Model Controls'!$E$2='Unit Mix'!F$4,IFERROR(ROUNDDOWN(F7*F$16,0),"n/a"),"")</f>
        <v/>
      </c>
      <c r="G14" s="103" t="str">
        <f>IF('Model Controls'!$E$2='Unit Mix'!G$4,IFERROR(ROUNDDOWN(G7*G$16,0),"n/a"),"")</f>
        <v/>
      </c>
    </row>
    <row r="15" spans="2:7" x14ac:dyDescent="0.25">
      <c r="B15" s="167" t="s">
        <v>150</v>
      </c>
      <c r="C15" s="197" t="str">
        <f>IF('Model Controls'!$E$2='Unit Mix'!C$4,IFERROR(ROUNDDOWN(C8*C$16,0),"n/a"),"")</f>
        <v/>
      </c>
      <c r="D15" s="197">
        <f>IF('Model Controls'!$E$2='Unit Mix'!D$4,IFERROR(ROUNDDOWN(D8*D$16,0),"n/a"),"")</f>
        <v>0</v>
      </c>
      <c r="E15" s="197" t="str">
        <f>IF('Model Controls'!$E$2='Unit Mix'!E$4,IFERROR(ROUNDDOWN(E8*E$16,0),"n/a"),"")</f>
        <v/>
      </c>
      <c r="F15" s="197" t="str">
        <f>IF('Model Controls'!$E$2='Unit Mix'!F$4,IFERROR(ROUNDDOWN(F8*F$16,0),"n/a"),"")</f>
        <v/>
      </c>
      <c r="G15" s="197" t="str">
        <f>IF('Model Controls'!$E$2='Unit Mix'!G$4,IFERROR(ROUNDDOWN(G8*G$16,0),"n/a"),"")</f>
        <v/>
      </c>
    </row>
    <row r="16" spans="2:7" x14ac:dyDescent="0.25">
      <c r="B16" s="171" t="s">
        <v>206</v>
      </c>
      <c r="C16" s="172" t="str">
        <f>IF('Model Controls'!$E$2='Unit Mix'!C$4,IFERROR('Prototype Inputs'!C36-C23,"n/a"),"")</f>
        <v/>
      </c>
      <c r="D16" s="172">
        <f>IF('Model Controls'!$E$2='Unit Mix'!D$4,IFERROR('Prototype Inputs'!D36-D23,"n/a"),"")</f>
        <v>136</v>
      </c>
      <c r="E16" s="172" t="str">
        <f>IF('Model Controls'!$E$2='Unit Mix'!E$4,IFERROR('Prototype Inputs'!E36-E23,"n/a"),"")</f>
        <v/>
      </c>
      <c r="F16" s="172" t="str">
        <f>IF('Model Controls'!$E$2='Unit Mix'!F$4,IFERROR('Prototype Inputs'!F36-F23,"n/a"),"")</f>
        <v/>
      </c>
      <c r="G16" s="172" t="str">
        <f>IF('Model Controls'!$E$2='Unit Mix'!G$4,IFERROR('Prototype Inputs'!G36-G23,"n/a"),"")</f>
        <v/>
      </c>
    </row>
    <row r="17" spans="2:14" x14ac:dyDescent="0.25">
      <c r="B17" s="173" t="s">
        <v>454</v>
      </c>
      <c r="C17" s="174" t="str">
        <f>IF('Model Controls'!$E$2='Unit Mix'!C$4,SUM(C12:C15),"")</f>
        <v/>
      </c>
      <c r="D17" s="174">
        <f>IF('Model Controls'!$E$2='Unit Mix'!D$4,SUM(D12:D15),"")</f>
        <v>136</v>
      </c>
      <c r="E17" s="174" t="str">
        <f>IF('Model Controls'!$E$2='Unit Mix'!E$4,SUM(E12:E15),"")</f>
        <v/>
      </c>
      <c r="F17" s="174" t="str">
        <f>IF('Model Controls'!$E$2='Unit Mix'!F$4,SUM(F12:F15),"")</f>
        <v/>
      </c>
      <c r="G17" s="174" t="str">
        <f>IF('Model Controls'!$E$2='Unit Mix'!G$4,SUM(G12:G15),"")</f>
        <v/>
      </c>
    </row>
    <row r="18" spans="2:14" x14ac:dyDescent="0.25">
      <c r="B18" s="60" t="s">
        <v>380</v>
      </c>
      <c r="C18" s="61"/>
      <c r="D18" s="61"/>
      <c r="E18" s="61"/>
      <c r="F18" s="61"/>
      <c r="G18" s="61"/>
    </row>
    <row r="19" spans="2:14" x14ac:dyDescent="0.25">
      <c r="B19" s="167" t="s">
        <v>146</v>
      </c>
      <c r="C19" s="103" t="str">
        <f>IF('Model Controls'!$E$2='Unit Mix'!C$4,IFERROR(ROUNDDOWN(C5*C$23,0),"n/a"),"")</f>
        <v/>
      </c>
      <c r="D19" s="103">
        <f>IF('Model Controls'!$E$2='Unit Mix'!D$4,IFERROR(ROUNDDOWN(D5*D$23,0),"n/a"),"")</f>
        <v>0</v>
      </c>
      <c r="E19" s="103" t="str">
        <f>IF('Model Controls'!$E$2='Unit Mix'!E$4,IFERROR(ROUNDDOWN(E5*E$23,0),"n/a"),"")</f>
        <v/>
      </c>
      <c r="F19" s="103" t="str">
        <f>IF('Model Controls'!$E$2='Unit Mix'!F$4,IFERROR(ROUNDDOWN(F5*F$23,0),"n/a"),"")</f>
        <v/>
      </c>
      <c r="G19" s="103" t="str">
        <f>IF('Model Controls'!$E$2='Unit Mix'!G$4,IFERROR(ROUNDDOWN(G5*G$23,0),"n/a"),"")</f>
        <v/>
      </c>
    </row>
    <row r="20" spans="2:14" x14ac:dyDescent="0.25">
      <c r="B20" s="167" t="s">
        <v>148</v>
      </c>
      <c r="C20" s="103" t="str">
        <f>IF('Model Controls'!$E$2='Unit Mix'!C$4,IFERROR(C23-SUM(C19,C21:C22),"n/a"),"")</f>
        <v/>
      </c>
      <c r="D20" s="103">
        <f>IF('Model Controls'!$E$2='Unit Mix'!D$4,IFERROR(D23-SUM(D19,D21:D22),"n/a"),"")</f>
        <v>0</v>
      </c>
      <c r="E20" s="103" t="str">
        <f>IF('Model Controls'!$E$2='Unit Mix'!E$4,IFERROR(E23-SUM(E19,E21:E22),"n/a"),"")</f>
        <v/>
      </c>
      <c r="F20" s="103" t="str">
        <f>IF('Model Controls'!$E$2='Unit Mix'!F$4,IFERROR(F23-SUM(F19,F21:F22),"n/a"),"")</f>
        <v/>
      </c>
      <c r="G20" s="103" t="str">
        <f>IF('Model Controls'!$E$2='Unit Mix'!G$4,IFERROR(G23-SUM(G19,G21:G22),"n/a"),"")</f>
        <v/>
      </c>
    </row>
    <row r="21" spans="2:14" x14ac:dyDescent="0.25">
      <c r="B21" s="167" t="s">
        <v>149</v>
      </c>
      <c r="C21" s="103" t="str">
        <f>IF('Model Controls'!$E$2='Unit Mix'!C$4,IFERROR(ROUNDDOWN(C7*C$23,0),"n/a"),"")</f>
        <v/>
      </c>
      <c r="D21" s="103">
        <f>IF('Model Controls'!$E$2='Unit Mix'!D$4,IFERROR(ROUNDDOWN(D7*D$23,0),"n/a"),"")</f>
        <v>0</v>
      </c>
      <c r="E21" s="103" t="str">
        <f>IF('Model Controls'!$E$2='Unit Mix'!E$4,IFERROR(ROUNDDOWN(E7*E$23,0),"n/a"),"")</f>
        <v/>
      </c>
      <c r="F21" s="103" t="str">
        <f>IF('Model Controls'!$E$2='Unit Mix'!F$4,IFERROR(ROUNDDOWN(F7*F$23,0),"n/a"),"")</f>
        <v/>
      </c>
      <c r="G21" s="103" t="str">
        <f>IF('Model Controls'!$E$2='Unit Mix'!G$4,IFERROR(ROUNDDOWN(G7*G$23,0),"n/a"),"")</f>
        <v/>
      </c>
    </row>
    <row r="22" spans="2:14" x14ac:dyDescent="0.25">
      <c r="B22" s="167" t="s">
        <v>150</v>
      </c>
      <c r="C22" s="197" t="str">
        <f>IF('Model Controls'!$E$2='Unit Mix'!C$4,IFERROR(ROUNDDOWN(C8*C$23,0),"n/a"),"")</f>
        <v/>
      </c>
      <c r="D22" s="197">
        <f>IF('Model Controls'!$E$2='Unit Mix'!D$4,IFERROR(ROUNDDOWN(D8*D$23,0),"n/a"),"")</f>
        <v>0</v>
      </c>
      <c r="E22" s="197" t="str">
        <f>IF('Model Controls'!$E$2='Unit Mix'!E$4,IFERROR(ROUNDDOWN(E8*E$23,0),"n/a"),"")</f>
        <v/>
      </c>
      <c r="F22" s="197" t="str">
        <f>IF('Model Controls'!$E$2='Unit Mix'!F$4,IFERROR(ROUNDDOWN(F8*F$23,0),"n/a"),"")</f>
        <v/>
      </c>
      <c r="G22" s="197" t="str">
        <f>IF('Model Controls'!$E$2='Unit Mix'!G$4,IFERROR(ROUNDDOWN(G8*G$23,0),"n/a"),"")</f>
        <v/>
      </c>
    </row>
    <row r="23" spans="2:14" x14ac:dyDescent="0.25">
      <c r="B23" s="171" t="s">
        <v>206</v>
      </c>
      <c r="C23" s="172" t="str">
        <f>IF('Model Controls'!$E$2='Unit Mix'!C$4,'Model Controls'!$E$28,"")</f>
        <v/>
      </c>
      <c r="D23" s="172">
        <f>IF('Model Controls'!$E$2='Unit Mix'!D$4,'Model Controls'!$E$28,"")</f>
        <v>0</v>
      </c>
      <c r="E23" s="172" t="str">
        <f>IF('Model Controls'!$E$2='Unit Mix'!E$4,'Model Controls'!$E$28,"")</f>
        <v/>
      </c>
      <c r="F23" s="172" t="str">
        <f>IF('Model Controls'!$E$2='Unit Mix'!F$4,'Model Controls'!$E$28,"")</f>
        <v/>
      </c>
      <c r="G23" s="172" t="str">
        <f>IF('Model Controls'!$E$2='Unit Mix'!G$4,'Model Controls'!$E$28,"")</f>
        <v/>
      </c>
    </row>
    <row r="24" spans="2:14" x14ac:dyDescent="0.25">
      <c r="B24" s="176" t="s">
        <v>454</v>
      </c>
      <c r="C24" s="174" t="str">
        <f>IF('Model Controls'!$E$2='Unit Mix'!C$4,SUM(C19:C22),"")</f>
        <v/>
      </c>
      <c r="D24" s="174">
        <f>IF('Model Controls'!$E$2='Unit Mix'!D$4,SUM(D19:D22),"")</f>
        <v>0</v>
      </c>
      <c r="E24" s="174" t="str">
        <f>IF('Model Controls'!$E$2='Unit Mix'!E$4,SUM(E19:E22),"")</f>
        <v/>
      </c>
      <c r="F24" s="174" t="str">
        <f>IF('Model Controls'!$E$2='Unit Mix'!F$4,SUM(F19:F22),"")</f>
        <v/>
      </c>
      <c r="G24" s="342" t="str">
        <f>IF('Model Controls'!$E$2='Unit Mix'!G$4,SUM(G19:G22),"")</f>
        <v/>
      </c>
    </row>
    <row r="25" spans="2:14" x14ac:dyDescent="0.25">
      <c r="B25" s="178" t="s">
        <v>206</v>
      </c>
      <c r="C25" s="179" t="str">
        <f>IF('Model Controls'!$E$2='Unit Mix'!C$4,'Prototype Inputs'!C36,"")</f>
        <v/>
      </c>
      <c r="D25" s="179">
        <f>IF('Model Controls'!$E$2='Unit Mix'!D$4,'Prototype Inputs'!D36,"")</f>
        <v>136</v>
      </c>
      <c r="E25" s="179" t="str">
        <f>IF('Model Controls'!$E$2='Unit Mix'!E$4,'Prototype Inputs'!E36,"")</f>
        <v/>
      </c>
      <c r="F25" s="179" t="str">
        <f>IF('Model Controls'!$E$2='Unit Mix'!F$4,'Prototype Inputs'!F36,"")</f>
        <v/>
      </c>
      <c r="G25" s="179" t="str">
        <f>IF('Model Controls'!$E$2='Unit Mix'!G$4,'Prototype Inputs'!G36,"")</f>
        <v/>
      </c>
    </row>
    <row r="26" spans="2:14" ht="14.4" thickBot="1" x14ac:dyDescent="0.3">
      <c r="B26" s="180" t="s">
        <v>454</v>
      </c>
      <c r="C26" s="181" t="str">
        <f>IF('Model Controls'!$E$2='Unit Mix'!C$4,SUM(C16,C23),"")</f>
        <v/>
      </c>
      <c r="D26" s="181">
        <f>IF('Model Controls'!$E$2='Unit Mix'!D$4,SUM(D16,D23),"")</f>
        <v>136</v>
      </c>
      <c r="E26" s="181" t="str">
        <f>IF('Model Controls'!$E$2='Unit Mix'!E$4,SUM(E16,E23),"")</f>
        <v/>
      </c>
      <c r="F26" s="181" t="str">
        <f>IF('Model Controls'!$E$2='Unit Mix'!F$4,SUM(F16,F23),"")</f>
        <v/>
      </c>
      <c r="G26" s="341" t="str">
        <f>IF('Model Controls'!$E$2='Unit Mix'!G$4,SUM(G16,G23),"")</f>
        <v/>
      </c>
    </row>
    <row r="27" spans="2:14" x14ac:dyDescent="0.25">
      <c r="B27" s="173"/>
      <c r="C27" s="174"/>
      <c r="D27" s="174"/>
      <c r="E27" s="174"/>
      <c r="F27" s="342"/>
      <c r="G27" s="175"/>
    </row>
    <row r="28" spans="2:14" ht="15" x14ac:dyDescent="0.25">
      <c r="B28" s="166" t="s">
        <v>208</v>
      </c>
      <c r="C28" s="174"/>
      <c r="D28" s="338"/>
      <c r="E28" s="338"/>
      <c r="F28" s="338"/>
      <c r="G28" s="338"/>
    </row>
    <row r="29" spans="2:14" ht="15.6" thickBot="1" x14ac:dyDescent="0.3">
      <c r="B29" s="166" t="s">
        <v>214</v>
      </c>
      <c r="I29" s="166" t="s">
        <v>215</v>
      </c>
    </row>
    <row r="30" spans="2:14" ht="41.4" x14ac:dyDescent="0.25">
      <c r="B30" s="263" t="s">
        <v>452</v>
      </c>
      <c r="C30" s="262" t="s">
        <v>125</v>
      </c>
      <c r="D30" s="262" t="s">
        <v>126</v>
      </c>
      <c r="E30" s="262" t="s">
        <v>128</v>
      </c>
      <c r="F30" s="262" t="s">
        <v>130</v>
      </c>
      <c r="G30" s="262" t="s">
        <v>132</v>
      </c>
      <c r="I30" s="263" t="s">
        <v>452</v>
      </c>
      <c r="J30" s="262" t="s">
        <v>125</v>
      </c>
      <c r="K30" s="262" t="s">
        <v>126</v>
      </c>
      <c r="L30" s="262" t="s">
        <v>128</v>
      </c>
      <c r="M30" s="262" t="s">
        <v>130</v>
      </c>
      <c r="N30" s="262" t="s">
        <v>132</v>
      </c>
    </row>
    <row r="31" spans="2:14" x14ac:dyDescent="0.25">
      <c r="B31" s="167" t="s">
        <v>146</v>
      </c>
      <c r="C31" s="99">
        <f>'Prototype Inputs'!C99</f>
        <v>0.3</v>
      </c>
      <c r="D31" s="99">
        <f>'Prototype Inputs'!D99</f>
        <v>0.3</v>
      </c>
      <c r="E31" s="99">
        <f>'Prototype Inputs'!E99</f>
        <v>0.3</v>
      </c>
      <c r="F31" s="144" t="str">
        <f>'Prototype Inputs'!F99</f>
        <v>n/a</v>
      </c>
      <c r="G31" s="144" t="str">
        <f>'Prototype Inputs'!G99</f>
        <v>n/a</v>
      </c>
      <c r="I31" s="167" t="s">
        <v>146</v>
      </c>
      <c r="J31" s="99">
        <f>'Prototype Inputs'!C163</f>
        <v>0.3</v>
      </c>
      <c r="K31" s="99">
        <f>'Prototype Inputs'!D163</f>
        <v>0.3</v>
      </c>
      <c r="L31" s="99">
        <f>'Prototype Inputs'!E163</f>
        <v>0.3</v>
      </c>
      <c r="M31" s="144" t="str">
        <f>'Prototype Inputs'!F163</f>
        <v>n/a</v>
      </c>
      <c r="N31" s="144" t="str">
        <f>'Prototype Inputs'!G163</f>
        <v>n/a</v>
      </c>
    </row>
    <row r="32" spans="2:14" x14ac:dyDescent="0.25">
      <c r="B32" s="167" t="s">
        <v>148</v>
      </c>
      <c r="C32" s="99">
        <f>'Prototype Inputs'!C100</f>
        <v>0.6</v>
      </c>
      <c r="D32" s="99">
        <f>'Prototype Inputs'!D100</f>
        <v>0.6</v>
      </c>
      <c r="E32" s="99">
        <f>'Prototype Inputs'!E100</f>
        <v>0.6</v>
      </c>
      <c r="F32" s="144" t="str">
        <f>'Prototype Inputs'!F100</f>
        <v>n/a</v>
      </c>
      <c r="G32" s="144" t="str">
        <f>'Prototype Inputs'!G100</f>
        <v>n/a</v>
      </c>
      <c r="I32" s="167" t="s">
        <v>148</v>
      </c>
      <c r="J32" s="99">
        <f>'Prototype Inputs'!C164</f>
        <v>0.6</v>
      </c>
      <c r="K32" s="99">
        <f>'Prototype Inputs'!D164</f>
        <v>0.6</v>
      </c>
      <c r="L32" s="99">
        <f>'Prototype Inputs'!E164</f>
        <v>0.6</v>
      </c>
      <c r="M32" s="144" t="str">
        <f>'Prototype Inputs'!F164</f>
        <v>n/a</v>
      </c>
      <c r="N32" s="144" t="str">
        <f>'Prototype Inputs'!G164</f>
        <v>n/a</v>
      </c>
    </row>
    <row r="33" spans="2:14" x14ac:dyDescent="0.25">
      <c r="B33" s="167" t="s">
        <v>149</v>
      </c>
      <c r="C33" s="99">
        <f>'Prototype Inputs'!C101</f>
        <v>0.1</v>
      </c>
      <c r="D33" s="99">
        <f>'Prototype Inputs'!D101</f>
        <v>0.1</v>
      </c>
      <c r="E33" s="99">
        <f>'Prototype Inputs'!E101</f>
        <v>0.1</v>
      </c>
      <c r="F33" s="144" t="str">
        <f>'Prototype Inputs'!F101</f>
        <v>n/a</v>
      </c>
      <c r="G33" s="144" t="str">
        <f>'Prototype Inputs'!G101</f>
        <v>n/a</v>
      </c>
      <c r="I33" s="167" t="s">
        <v>149</v>
      </c>
      <c r="J33" s="99">
        <f>'Prototype Inputs'!C165</f>
        <v>0.1</v>
      </c>
      <c r="K33" s="99">
        <f>'Prototype Inputs'!D165</f>
        <v>0.1</v>
      </c>
      <c r="L33" s="99">
        <f>'Prototype Inputs'!E165</f>
        <v>0.1</v>
      </c>
      <c r="M33" s="144" t="str">
        <f>'Prototype Inputs'!F165</f>
        <v>n/a</v>
      </c>
      <c r="N33" s="144" t="str">
        <f>'Prototype Inputs'!G165</f>
        <v>n/a</v>
      </c>
    </row>
    <row r="34" spans="2:14" ht="14.4" thickBot="1" x14ac:dyDescent="0.3">
      <c r="B34" s="168" t="s">
        <v>150</v>
      </c>
      <c r="C34" s="169">
        <f>'Prototype Inputs'!C102</f>
        <v>0</v>
      </c>
      <c r="D34" s="169">
        <f>'Prototype Inputs'!D102</f>
        <v>0</v>
      </c>
      <c r="E34" s="169">
        <f>'Prototype Inputs'!E102</f>
        <v>0</v>
      </c>
      <c r="F34" s="170" t="str">
        <f>'Prototype Inputs'!F102</f>
        <v>n/a</v>
      </c>
      <c r="G34" s="170" t="str">
        <f>'Prototype Inputs'!G102</f>
        <v>n/a</v>
      </c>
      <c r="I34" s="168" t="s">
        <v>150</v>
      </c>
      <c r="J34" s="169">
        <f>'Prototype Inputs'!C166</f>
        <v>0</v>
      </c>
      <c r="K34" s="169">
        <f>'Prototype Inputs'!D166</f>
        <v>0</v>
      </c>
      <c r="L34" s="169">
        <f>'Prototype Inputs'!E166</f>
        <v>0</v>
      </c>
      <c r="M34" s="170" t="str">
        <f>'Prototype Inputs'!F166</f>
        <v>n/a</v>
      </c>
      <c r="N34" s="170" t="str">
        <f>'Prototype Inputs'!G166</f>
        <v>n/a</v>
      </c>
    </row>
    <row r="35" spans="2:14" ht="14.4" thickBot="1" x14ac:dyDescent="0.3"/>
    <row r="36" spans="2:14" ht="41.4" x14ac:dyDescent="0.25">
      <c r="B36" s="263" t="s">
        <v>453</v>
      </c>
      <c r="C36" s="262" t="s">
        <v>125</v>
      </c>
      <c r="D36" s="262" t="s">
        <v>126</v>
      </c>
      <c r="E36" s="262" t="s">
        <v>128</v>
      </c>
      <c r="F36" s="262" t="s">
        <v>130</v>
      </c>
      <c r="G36" s="262" t="s">
        <v>132</v>
      </c>
      <c r="I36" s="263" t="s">
        <v>453</v>
      </c>
      <c r="J36" s="262" t="s">
        <v>125</v>
      </c>
      <c r="K36" s="262" t="s">
        <v>126</v>
      </c>
      <c r="L36" s="262" t="s">
        <v>128</v>
      </c>
      <c r="M36" s="262" t="s">
        <v>130</v>
      </c>
      <c r="N36" s="262" t="s">
        <v>132</v>
      </c>
    </row>
    <row r="37" spans="2:14" x14ac:dyDescent="0.25">
      <c r="B37" s="1" t="s">
        <v>374</v>
      </c>
      <c r="C37" s="47"/>
      <c r="D37" s="47"/>
      <c r="E37" s="47"/>
      <c r="F37" s="47"/>
      <c r="G37" s="47"/>
      <c r="I37" s="1" t="s">
        <v>374</v>
      </c>
      <c r="J37" s="47"/>
      <c r="K37" s="47"/>
      <c r="L37" s="47"/>
      <c r="M37" s="47"/>
      <c r="N37" s="47"/>
    </row>
    <row r="38" spans="2:14" x14ac:dyDescent="0.25">
      <c r="B38" s="167" t="s">
        <v>146</v>
      </c>
      <c r="C38" s="103" t="str">
        <f>IF('Model Controls'!$E$2='Unit Mix'!C$4,IFERROR(ROUNDDOWN(C31*C$42,0),"n/a"),"")</f>
        <v/>
      </c>
      <c r="D38" s="103">
        <f>IF('Model Controls'!$E$2='Unit Mix'!D$4,IFERROR(ROUNDDOWN(D31*D$42,0),"n/a"),"")</f>
        <v>36</v>
      </c>
      <c r="E38" s="103" t="str">
        <f>IF('Model Controls'!$E$2='Unit Mix'!E$4,IFERROR(ROUNDDOWN(E31*E$42,0),"n/a"),"")</f>
        <v/>
      </c>
      <c r="F38" s="103" t="str">
        <f>IF('Model Controls'!$E$2='Unit Mix'!F$4,IFERROR(ROUNDDOWN(F31*F$42,0),"n/a"),"")</f>
        <v/>
      </c>
      <c r="G38" s="103" t="str">
        <f>IF('Model Controls'!$E$2='Unit Mix'!G$4,IFERROR(ROUNDDOWN(G31*G$42,0),"n/a"),"")</f>
        <v/>
      </c>
      <c r="I38" s="167" t="s">
        <v>146</v>
      </c>
      <c r="J38" s="103" t="str">
        <f>IF('Model Controls'!$E$2='Unit Mix'!J$30,IFERROR(ROUNDDOWN(J31*J$42,0),"n/a"),"")</f>
        <v/>
      </c>
      <c r="K38" s="103">
        <f>IF('Model Controls'!$E$2='Unit Mix'!K$30,IFERROR(ROUNDDOWN(K31*K$42,0),"n/a"),"")</f>
        <v>48</v>
      </c>
      <c r="L38" s="103" t="str">
        <f>IF('Model Controls'!$E$2='Unit Mix'!L$30,IFERROR(ROUNDDOWN(L31*L$42,0),"n/a"),"")</f>
        <v/>
      </c>
      <c r="M38" s="103" t="str">
        <f>IF('Model Controls'!$E$2='Unit Mix'!M$30,IFERROR(ROUNDDOWN(M31*M$42,0),"n/a"),"")</f>
        <v/>
      </c>
      <c r="N38" s="103" t="str">
        <f>IF('Model Controls'!$E$2='Unit Mix'!N$30,IFERROR(ROUNDDOWN(N31*N$42,0),"n/a"),"")</f>
        <v/>
      </c>
    </row>
    <row r="39" spans="2:14" x14ac:dyDescent="0.25">
      <c r="B39" s="167" t="s">
        <v>148</v>
      </c>
      <c r="C39" s="103" t="str">
        <f>IF('Model Controls'!$E$2='Unit Mix'!C$4,IFERROR(C42-SUM(C38,C40:C41),"n/a"),"")</f>
        <v/>
      </c>
      <c r="D39" s="103">
        <f>IF('Model Controls'!$E$2='Unit Mix'!D$4,IFERROR(D42-SUM(D38,D40:D41),"n/a"),"")</f>
        <v>74</v>
      </c>
      <c r="E39" s="103" t="str">
        <f>IF('Model Controls'!$E$2='Unit Mix'!E$4,IFERROR(E42-SUM(E38,E40:E41),"n/a"),"")</f>
        <v/>
      </c>
      <c r="F39" s="103" t="str">
        <f>IF('Model Controls'!$E$2='Unit Mix'!F$4,IFERROR(F42-SUM(F38,F40:F41),"n/a"),"")</f>
        <v/>
      </c>
      <c r="G39" s="103" t="str">
        <f>IF('Model Controls'!$E$2='Unit Mix'!G$4,IFERROR(G42-SUM(G38,G40:G41),"n/a"),"")</f>
        <v/>
      </c>
      <c r="I39" s="167" t="s">
        <v>148</v>
      </c>
      <c r="J39" s="103" t="str">
        <f>IF('Model Controls'!$E$2='Unit Mix'!J$30,IFERROR(J42-SUM(J38,J40:J41),"n/a"),"")</f>
        <v/>
      </c>
      <c r="K39" s="103">
        <f>IF('Model Controls'!$E$2='Unit Mix'!K$30,IFERROR(K42-SUM(K38,K40:K41),"n/a"),"")</f>
        <v>97</v>
      </c>
      <c r="L39" s="103" t="str">
        <f>IF('Model Controls'!$E$2='Unit Mix'!L$30,IFERROR(L42-SUM(L38,L40:L41),"n/a"),"")</f>
        <v/>
      </c>
      <c r="M39" s="103" t="str">
        <f>IF('Model Controls'!$E$2='Unit Mix'!M$30,IFERROR(M42-SUM(M38,M40:M41),"n/a"),"")</f>
        <v/>
      </c>
      <c r="N39" s="103" t="str">
        <f>IF('Model Controls'!$E$2='Unit Mix'!N$30,IFERROR(N42-SUM(N38,N40:N41),"n/a"),"")</f>
        <v/>
      </c>
    </row>
    <row r="40" spans="2:14" x14ac:dyDescent="0.25">
      <c r="B40" s="167" t="s">
        <v>149</v>
      </c>
      <c r="C40" s="103" t="str">
        <f>IF('Model Controls'!$E$2='Unit Mix'!C$4,IFERROR(ROUNDDOWN(C33*C$42,0),"n/a"),"")</f>
        <v/>
      </c>
      <c r="D40" s="103">
        <f>IF('Model Controls'!$E$2='Unit Mix'!D$4,IFERROR(ROUNDDOWN(D33*D$42,0),"n/a"),"")</f>
        <v>12</v>
      </c>
      <c r="E40" s="103" t="str">
        <f>IF('Model Controls'!$E$2='Unit Mix'!E$4,IFERROR(ROUNDDOWN(E33*E$42,0),"n/a"),"")</f>
        <v/>
      </c>
      <c r="F40" s="103" t="str">
        <f>IF('Model Controls'!$E$2='Unit Mix'!F$4,IFERROR(ROUNDDOWN(F33*F$42,0),"n/a"),"")</f>
        <v/>
      </c>
      <c r="G40" s="103" t="str">
        <f>IF('Model Controls'!$E$2='Unit Mix'!G$4,IFERROR(ROUNDDOWN(G33*G$42,0),"n/a"),"")</f>
        <v/>
      </c>
      <c r="I40" s="167" t="s">
        <v>149</v>
      </c>
      <c r="J40" s="103" t="str">
        <f>IF('Model Controls'!$E$2='Unit Mix'!J$30,IFERROR(ROUNDDOWN(J33*J$42,0),"n/a"),"")</f>
        <v/>
      </c>
      <c r="K40" s="103">
        <f>IF('Model Controls'!$E$2='Unit Mix'!K$30,IFERROR(ROUNDDOWN(K33*K$42,0),"n/a"),"")</f>
        <v>16</v>
      </c>
      <c r="L40" s="103" t="str">
        <f>IF('Model Controls'!$E$2='Unit Mix'!L$30,IFERROR(ROUNDDOWN(L33*L$42,0),"n/a"),"")</f>
        <v/>
      </c>
      <c r="M40" s="103" t="str">
        <f>IF('Model Controls'!$E$2='Unit Mix'!M$30,IFERROR(ROUNDDOWN(M33*M$42,0),"n/a"),"")</f>
        <v/>
      </c>
      <c r="N40" s="103" t="str">
        <f>IF('Model Controls'!$E$2='Unit Mix'!N$30,IFERROR(ROUNDDOWN(N33*N$42,0),"n/a"),"")</f>
        <v/>
      </c>
    </row>
    <row r="41" spans="2:14" x14ac:dyDescent="0.25">
      <c r="B41" s="167" t="s">
        <v>150</v>
      </c>
      <c r="C41" s="197" t="str">
        <f>IF('Model Controls'!$E$2='Unit Mix'!C$4,IFERROR(ROUNDDOWN(C34*C$42,0),"n/a"),"")</f>
        <v/>
      </c>
      <c r="D41" s="197">
        <f>IF('Model Controls'!$E$2='Unit Mix'!D$4,IFERROR(ROUNDDOWN(D34*D$42,0),"n/a"),"")</f>
        <v>0</v>
      </c>
      <c r="E41" s="197" t="str">
        <f>IF('Model Controls'!$E$2='Unit Mix'!E$4,IFERROR(ROUNDDOWN(E34*E$42,0),"n/a"),"")</f>
        <v/>
      </c>
      <c r="F41" s="197" t="str">
        <f>IF('Model Controls'!$E$2='Unit Mix'!F$4,IFERROR(ROUNDDOWN(F34*F$42,0),"n/a"),"")</f>
        <v/>
      </c>
      <c r="G41" s="197" t="str">
        <f>IF('Model Controls'!$E$2='Unit Mix'!G$4,IFERROR(ROUNDDOWN(G34*G$42,0),"n/a"),"")</f>
        <v/>
      </c>
      <c r="I41" s="167" t="s">
        <v>150</v>
      </c>
      <c r="J41" s="197" t="str">
        <f>IF('Model Controls'!$E$2='Unit Mix'!J$30,IFERROR(ROUNDDOWN(J34*J$42,0),"n/a"),"")</f>
        <v/>
      </c>
      <c r="K41" s="197">
        <f>IF('Model Controls'!$E$2='Unit Mix'!K$30,IFERROR(ROUNDDOWN(K34*K$42,0),"n/a"),"")</f>
        <v>0</v>
      </c>
      <c r="L41" s="197" t="str">
        <f>IF('Model Controls'!$E$2='Unit Mix'!L$30,IFERROR(ROUNDDOWN(L34*L$42,0),"n/a"),"")</f>
        <v/>
      </c>
      <c r="M41" s="197" t="str">
        <f>IF('Model Controls'!$E$2='Unit Mix'!M$30,IFERROR(ROUNDDOWN(M34*M$42,0),"n/a"),"")</f>
        <v/>
      </c>
      <c r="N41" s="197" t="str">
        <f>IF('Model Controls'!$E$2='Unit Mix'!N$30,IFERROR(ROUNDDOWN(N34*N$42,0),"n/a"),"")</f>
        <v/>
      </c>
    </row>
    <row r="42" spans="2:14" x14ac:dyDescent="0.25">
      <c r="B42" s="171" t="s">
        <v>206</v>
      </c>
      <c r="C42" s="172" t="str">
        <f>IF('Model Controls'!$E$2='Unit Mix'!C$4,IFERROR('Prototype Inputs'!C98-C49,"n/a"),"")</f>
        <v/>
      </c>
      <c r="D42" s="172">
        <f>IF('Model Controls'!$E$2='Unit Mix'!D$4,IFERROR('Prototype Inputs'!D98-D49,"n/a"),"")</f>
        <v>122</v>
      </c>
      <c r="E42" s="172" t="str">
        <f>IF('Model Controls'!$E$2='Unit Mix'!E$4,IFERROR('Prototype Inputs'!E98-E49,"n/a"),"")</f>
        <v/>
      </c>
      <c r="F42" s="172" t="str">
        <f>IF('Model Controls'!$E$2='Unit Mix'!F$4,IFERROR('Prototype Inputs'!F98-F49,"n/a"),"")</f>
        <v/>
      </c>
      <c r="G42" s="172" t="str">
        <f>IF('Model Controls'!$E$2='Unit Mix'!G$4,IFERROR('Prototype Inputs'!G98-G49,"n/a"),"")</f>
        <v/>
      </c>
      <c r="I42" s="171" t="s">
        <v>206</v>
      </c>
      <c r="J42" s="172" t="str">
        <f>IF('Model Controls'!$E$2='Unit Mix'!J$30,IFERROR('Prototype Inputs'!C162-J49-J56,"n/a"),"")</f>
        <v/>
      </c>
      <c r="K42" s="172">
        <f>IF('Model Controls'!$E$2='Unit Mix'!K$30,IFERROR('Prototype Inputs'!D162-K49-K56,"n/a"),"")</f>
        <v>161</v>
      </c>
      <c r="L42" s="172" t="str">
        <f>IF('Model Controls'!$E$2='Unit Mix'!L$30,IFERROR('Prototype Inputs'!E162-L49-L56,"n/a"),"")</f>
        <v/>
      </c>
      <c r="M42" s="172" t="str">
        <f>IF('Model Controls'!$E$2='Unit Mix'!M$30,IFERROR('Prototype Inputs'!F162-M49-M56,"n/a"),"")</f>
        <v/>
      </c>
      <c r="N42" s="172" t="str">
        <f>IF('Model Controls'!$E$2='Unit Mix'!N$30,IFERROR('Prototype Inputs'!G162-N49-N56,"n/a"),"")</f>
        <v/>
      </c>
    </row>
    <row r="43" spans="2:14" x14ac:dyDescent="0.25">
      <c r="B43" s="173" t="s">
        <v>454</v>
      </c>
      <c r="C43" s="174" t="str">
        <f>IF('Model Controls'!$E$2='Unit Mix'!C$4,SUM(C38:C41),"")</f>
        <v/>
      </c>
      <c r="D43" s="174">
        <f>IF('Model Controls'!$E$2='Unit Mix'!D$4,SUM(D38:D41),"")</f>
        <v>122</v>
      </c>
      <c r="E43" s="174" t="str">
        <f>IF('Model Controls'!$E$2='Unit Mix'!E$4,SUM(E38:E41),"")</f>
        <v/>
      </c>
      <c r="F43" s="174" t="str">
        <f>IF('Model Controls'!$E$2='Unit Mix'!F$4,SUM(F38:F41),"")</f>
        <v/>
      </c>
      <c r="G43" s="342" t="str">
        <f>IF('Model Controls'!$E$2='Unit Mix'!G$4,SUM(G38:G41),"")</f>
        <v/>
      </c>
      <c r="I43" s="173" t="s">
        <v>454</v>
      </c>
      <c r="J43" s="174" t="str">
        <f>IF('Model Controls'!$E$2='Unit Mix'!J$30,SUM(J38:J41),"")</f>
        <v/>
      </c>
      <c r="K43" s="174">
        <f>IF('Model Controls'!$E$2='Unit Mix'!K$30,SUM(K38:K41),"")</f>
        <v>161</v>
      </c>
      <c r="L43" s="174" t="str">
        <f>IF('Model Controls'!$E$2='Unit Mix'!L$30,SUM(L38:L41),"")</f>
        <v/>
      </c>
      <c r="M43" s="174" t="str">
        <f>IF('Model Controls'!$E$2='Unit Mix'!M$30,SUM(M38:M41),"")</f>
        <v/>
      </c>
      <c r="N43" s="174" t="str">
        <f>IF('Model Controls'!$E$2='Unit Mix'!N$30,SUM(N38:N41),"")</f>
        <v/>
      </c>
    </row>
    <row r="44" spans="2:14" x14ac:dyDescent="0.25">
      <c r="B44" s="60" t="s">
        <v>380</v>
      </c>
      <c r="C44" s="61"/>
      <c r="D44" s="61"/>
      <c r="E44" s="61"/>
      <c r="F44" s="61"/>
      <c r="G44" s="410"/>
      <c r="I44" s="60" t="s">
        <v>380</v>
      </c>
      <c r="J44" s="61"/>
      <c r="K44" s="61"/>
      <c r="L44" s="61"/>
      <c r="M44" s="61"/>
      <c r="N44" s="61"/>
    </row>
    <row r="45" spans="2:14" x14ac:dyDescent="0.25">
      <c r="B45" s="167" t="s">
        <v>146</v>
      </c>
      <c r="C45" s="103" t="str">
        <f>IF('Model Controls'!$E$2='Unit Mix'!C$4,IFERROR(ROUNDDOWN(C31*C$49,0),"n/a"),"")</f>
        <v/>
      </c>
      <c r="D45" s="103">
        <f>IF('Model Controls'!$E$2='Unit Mix'!D$4,IFERROR(ROUNDDOWN(D31*D$49,0),"n/a"),"")</f>
        <v>4</v>
      </c>
      <c r="E45" s="103" t="str">
        <f>IF('Model Controls'!$E$2='Unit Mix'!E$4,IFERROR(ROUNDDOWN(E31*E$49,0),"n/a"),"")</f>
        <v/>
      </c>
      <c r="F45" s="103" t="str">
        <f>IF('Model Controls'!$E$2='Unit Mix'!F$4,IFERROR(ROUNDDOWN(F31*F$49,0),"n/a"),"")</f>
        <v/>
      </c>
      <c r="G45" s="103" t="str">
        <f>IF('Model Controls'!$E$2='Unit Mix'!G$4,IFERROR(ROUNDDOWN(G31*G$49,0),"n/a"),"")</f>
        <v/>
      </c>
      <c r="I45" s="167" t="s">
        <v>146</v>
      </c>
      <c r="J45" s="103" t="str">
        <f>IF('Model Controls'!$E$2='Unit Mix'!J$30,IFERROR(ROUNDDOWN(J31*J$49,0),"n/a"),"")</f>
        <v/>
      </c>
      <c r="K45" s="103">
        <f>IF('Model Controls'!$E$2='Unit Mix'!K$30,IFERROR(ROUNDDOWN(K31*K$49,0),"n/a"),"")</f>
        <v>6</v>
      </c>
      <c r="L45" s="103" t="str">
        <f>IF('Model Controls'!$E$2='Unit Mix'!L$30,IFERROR(ROUNDDOWN(L31*L$49,0),"n/a"),"")</f>
        <v/>
      </c>
      <c r="M45" s="103" t="str">
        <f>IF('Model Controls'!$E$2='Unit Mix'!M$30,IFERROR(ROUNDDOWN(M31*M$49,0),"n/a"),"")</f>
        <v/>
      </c>
      <c r="N45" s="103" t="str">
        <f>IF('Model Controls'!$E$2='Unit Mix'!N$30,IFERROR(ROUNDDOWN(N31*N$49,0),"n/a"),"")</f>
        <v/>
      </c>
    </row>
    <row r="46" spans="2:14" x14ac:dyDescent="0.25">
      <c r="B46" s="167" t="s">
        <v>148</v>
      </c>
      <c r="C46" s="103" t="str">
        <f>IF('Model Controls'!$E$2='Unit Mix'!C$4,IFERROR(C49-SUM(C45,C47:C48),"n/a"),"")</f>
        <v/>
      </c>
      <c r="D46" s="103">
        <f>IF('Model Controls'!$E$2='Unit Mix'!D$4,IFERROR(D49-SUM(D45,D47:D48),"n/a"),"")</f>
        <v>9</v>
      </c>
      <c r="E46" s="103" t="str">
        <f>IF('Model Controls'!$E$2='Unit Mix'!E$4,IFERROR(E49-SUM(E45,E47:E48),"n/a"),"")</f>
        <v/>
      </c>
      <c r="F46" s="103" t="str">
        <f>IF('Model Controls'!$E$2='Unit Mix'!F$4,IFERROR(F49-SUM(F45,F47:F48),"n/a"),"")</f>
        <v/>
      </c>
      <c r="G46" s="103" t="str">
        <f>IF('Model Controls'!$E$2='Unit Mix'!G$4,IFERROR(G49-SUM(G45,G47:G48),"n/a"),"")</f>
        <v/>
      </c>
      <c r="I46" s="167" t="s">
        <v>148</v>
      </c>
      <c r="J46" s="103" t="str">
        <f>IF('Model Controls'!$E$2='Unit Mix'!J$30,IFERROR(J49-SUM(J45,J47:J48),"n/a"),"")</f>
        <v/>
      </c>
      <c r="K46" s="103">
        <f>IF('Model Controls'!$E$2='Unit Mix'!K$30,IFERROR(K49-SUM(K45,K47:K48),"n/a"),"")</f>
        <v>13</v>
      </c>
      <c r="L46" s="103" t="str">
        <f>IF('Model Controls'!$E$2='Unit Mix'!L$30,IFERROR(L49-SUM(L45,L47:L48),"n/a"),"")</f>
        <v/>
      </c>
      <c r="M46" s="103" t="str">
        <f>IF('Model Controls'!$E$2='Unit Mix'!M$30,IFERROR(M49-SUM(M45,M47:M48),"n/a"),"")</f>
        <v/>
      </c>
      <c r="N46" s="103" t="str">
        <f>IF('Model Controls'!$E$2='Unit Mix'!N$30,IFERROR(N49-SUM(N45,N47:N48),"n/a"),"")</f>
        <v/>
      </c>
    </row>
    <row r="47" spans="2:14" x14ac:dyDescent="0.25">
      <c r="B47" s="167" t="s">
        <v>149</v>
      </c>
      <c r="C47" s="103" t="str">
        <f>IF('Model Controls'!$E$2='Unit Mix'!C$4,IFERROR(ROUNDDOWN(C33*C$49,0),"n/a"),"")</f>
        <v/>
      </c>
      <c r="D47" s="103">
        <f>IF('Model Controls'!$E$2='Unit Mix'!D$4,IFERROR(ROUNDDOWN(D33*D$49,0),"n/a"),"")</f>
        <v>1</v>
      </c>
      <c r="E47" s="103" t="str">
        <f>IF('Model Controls'!$E$2='Unit Mix'!E$4,IFERROR(ROUNDDOWN(E33*E$49,0),"n/a"),"")</f>
        <v/>
      </c>
      <c r="F47" s="103" t="str">
        <f>IF('Model Controls'!$E$2='Unit Mix'!F$4,IFERROR(ROUNDDOWN(F33*F$49,0),"n/a"),"")</f>
        <v/>
      </c>
      <c r="G47" s="103" t="str">
        <f>IF('Model Controls'!$E$2='Unit Mix'!G$4,IFERROR(ROUNDDOWN(G33*G$49,0),"n/a"),"")</f>
        <v/>
      </c>
      <c r="I47" s="167" t="s">
        <v>149</v>
      </c>
      <c r="J47" s="103" t="str">
        <f>IF('Model Controls'!$E$2='Unit Mix'!J$30,IFERROR(ROUNDDOWN(J33*J$49,0),"n/a"),"")</f>
        <v/>
      </c>
      <c r="K47" s="103">
        <f>IF('Model Controls'!$E$2='Unit Mix'!K$30,IFERROR(ROUNDDOWN(K33*K$49,0),"n/a"),"")</f>
        <v>2</v>
      </c>
      <c r="L47" s="103" t="str">
        <f>IF('Model Controls'!$E$2='Unit Mix'!L$30,IFERROR(ROUNDDOWN(L33*L$49,0),"n/a"),"")</f>
        <v/>
      </c>
      <c r="M47" s="103" t="str">
        <f>IF('Model Controls'!$E$2='Unit Mix'!M$30,IFERROR(ROUNDDOWN(M33*M$49,0),"n/a"),"")</f>
        <v/>
      </c>
      <c r="N47" s="103" t="str">
        <f>IF('Model Controls'!$E$2='Unit Mix'!N$30,IFERROR(ROUNDDOWN(N33*N$49,0),"n/a"),"")</f>
        <v/>
      </c>
    </row>
    <row r="48" spans="2:14" x14ac:dyDescent="0.25">
      <c r="B48" s="167" t="s">
        <v>150</v>
      </c>
      <c r="C48" s="197" t="str">
        <f>IF('Model Controls'!$E$2='Unit Mix'!C$4,IFERROR(ROUNDDOWN(C34*C$49,0),"n/a"),"")</f>
        <v/>
      </c>
      <c r="D48" s="197">
        <f>IF('Model Controls'!$E$2='Unit Mix'!D$4,IFERROR(ROUNDDOWN(D34*D$49,0),"n/a"),"")</f>
        <v>0</v>
      </c>
      <c r="E48" s="197" t="str">
        <f>IF('Model Controls'!$E$2='Unit Mix'!E$4,IFERROR(ROUNDDOWN(E34*E$49,0),"n/a"),"")</f>
        <v/>
      </c>
      <c r="F48" s="197" t="str">
        <f>IF('Model Controls'!$E$2='Unit Mix'!F$4,IFERROR(ROUNDDOWN(F34*F$49,0),"n/a"),"")</f>
        <v/>
      </c>
      <c r="G48" s="197" t="str">
        <f>IF('Model Controls'!$E$2='Unit Mix'!G$4,IFERROR(ROUNDDOWN(G34*G$49,0),"n/a"),"")</f>
        <v/>
      </c>
      <c r="I48" s="167" t="s">
        <v>150</v>
      </c>
      <c r="J48" s="197" t="str">
        <f>IF('Model Controls'!$E$2='Unit Mix'!J$30,IFERROR(ROUNDDOWN(J34*J$49,0),"n/a"),"")</f>
        <v/>
      </c>
      <c r="K48" s="197">
        <f>IF('Model Controls'!$E$2='Unit Mix'!K$30,IFERROR(ROUNDDOWN(K34*K$49,0),"n/a"),"")</f>
        <v>0</v>
      </c>
      <c r="L48" s="197" t="str">
        <f>IF('Model Controls'!$E$2='Unit Mix'!L$30,IFERROR(ROUNDDOWN(L34*L$49,0),"n/a"),"")</f>
        <v/>
      </c>
      <c r="M48" s="197" t="str">
        <f>IF('Model Controls'!$E$2='Unit Mix'!M$30,IFERROR(ROUNDDOWN(M34*M$49,0),"n/a"),"")</f>
        <v/>
      </c>
      <c r="N48" s="197" t="str">
        <f>IF('Model Controls'!$E$2='Unit Mix'!N$30,IFERROR(ROUNDDOWN(N34*N$49,0),"n/a"),"")</f>
        <v/>
      </c>
    </row>
    <row r="49" spans="2:15" x14ac:dyDescent="0.25">
      <c r="B49" s="171" t="s">
        <v>206</v>
      </c>
      <c r="C49" s="172" t="str">
        <f>IF('Model Controls'!$E$2='Unit Mix'!C$4,'Model Controls'!$H$28,"")</f>
        <v/>
      </c>
      <c r="D49" s="172">
        <f>IF('Model Controls'!$E$2='Unit Mix'!D$4,'Model Controls'!$H$28,"")</f>
        <v>14</v>
      </c>
      <c r="E49" s="172" t="str">
        <f>IF('Model Controls'!$E$2='Unit Mix'!E$4,'Model Controls'!$H$28,"")</f>
        <v/>
      </c>
      <c r="F49" s="172" t="str">
        <f>IF('Model Controls'!$E$2='Unit Mix'!F$4,'Model Controls'!$H$28,"")</f>
        <v/>
      </c>
      <c r="G49" s="172" t="str">
        <f>IF('Model Controls'!$E$2='Unit Mix'!G$4,'Model Controls'!$H$28,"")</f>
        <v/>
      </c>
      <c r="I49" s="171" t="s">
        <v>206</v>
      </c>
      <c r="J49" s="236" t="str">
        <f>IF('Model Controls'!$E$2='Unit Mix'!J$30,IFERROR('Model Controls'!$K$28,"n/a"),"")</f>
        <v/>
      </c>
      <c r="K49" s="236">
        <f>IF('Model Controls'!$E$2='Unit Mix'!K$30,IFERROR('Model Controls'!$K$28,"n/a"),"")</f>
        <v>21</v>
      </c>
      <c r="L49" s="236" t="str">
        <f>IF('Model Controls'!$E$2='Unit Mix'!L$30,IFERROR('Model Controls'!$K$28,"n/a"),"")</f>
        <v/>
      </c>
      <c r="M49" s="236" t="str">
        <f>IF('Model Controls'!$E$2='Unit Mix'!M$30,IFERROR('Model Controls'!$K$28,"n/a"),"")</f>
        <v/>
      </c>
      <c r="N49" s="236" t="str">
        <f>IF('Model Controls'!$E$2='Unit Mix'!N$30,IFERROR('Model Controls'!$K$28,"n/a"),"")</f>
        <v/>
      </c>
    </row>
    <row r="50" spans="2:15" x14ac:dyDescent="0.25">
      <c r="B50" s="176" t="s">
        <v>454</v>
      </c>
      <c r="C50" s="177" t="str">
        <f>IF('Model Controls'!$E$2='Unit Mix'!C$4,SUM(C45:C48),"")</f>
        <v/>
      </c>
      <c r="D50" s="177">
        <f>IF('Model Controls'!$E$2='Unit Mix'!D$4,SUM(D45:D48),"")</f>
        <v>14</v>
      </c>
      <c r="E50" s="177" t="str">
        <f>IF('Model Controls'!$E$2='Unit Mix'!E$4,SUM(E45:E48),"")</f>
        <v/>
      </c>
      <c r="F50" s="177" t="str">
        <f>IF('Model Controls'!$E$2='Unit Mix'!F$4,SUM(F45:F48),"")</f>
        <v/>
      </c>
      <c r="G50" s="339" t="str">
        <f>IF('Model Controls'!$E$2='Unit Mix'!G$4,SUM(G45:G48),"")</f>
        <v/>
      </c>
      <c r="I50" s="176" t="s">
        <v>454</v>
      </c>
      <c r="J50" s="177" t="str">
        <f>IF('Model Controls'!$E$2='Unit Mix'!J$30,SUM(J45:J48),"")</f>
        <v/>
      </c>
      <c r="K50" s="177">
        <f>IF('Model Controls'!$E$2='Unit Mix'!K$30,SUM(K45:K48),"")</f>
        <v>21</v>
      </c>
      <c r="L50" s="177" t="str">
        <f>IF('Model Controls'!$E$2='Unit Mix'!L$30,SUM(L45:L48),"")</f>
        <v/>
      </c>
      <c r="M50" s="177" t="str">
        <f>IF('Model Controls'!$E$2='Unit Mix'!M$30,SUM(M45:M48),"")</f>
        <v/>
      </c>
      <c r="N50" s="177" t="str">
        <f>IF('Model Controls'!$E$2='Unit Mix'!N$30,SUM(N45:N48),"")</f>
        <v/>
      </c>
    </row>
    <row r="51" spans="2:15" x14ac:dyDescent="0.25">
      <c r="B51" s="178" t="s">
        <v>206</v>
      </c>
      <c r="C51" s="179" t="str">
        <f>IF('Model Controls'!$E$2='Unit Mix'!C$4,'Prototype Inputs'!C98,"")</f>
        <v/>
      </c>
      <c r="D51" s="179">
        <f>IF('Model Controls'!$E$2='Unit Mix'!D$4,'Prototype Inputs'!D98,"")</f>
        <v>136</v>
      </c>
      <c r="E51" s="179" t="str">
        <f>IF('Model Controls'!$E$2='Unit Mix'!E$4,'Prototype Inputs'!E98,"")</f>
        <v/>
      </c>
      <c r="F51" s="179" t="str">
        <f>IF('Model Controls'!$E$2='Unit Mix'!F$4,'Prototype Inputs'!F98,"")</f>
        <v/>
      </c>
      <c r="G51" s="340" t="str">
        <f>IF('Model Controls'!$E$2='Unit Mix'!G$4,'Prototype Inputs'!G98,"")</f>
        <v/>
      </c>
      <c r="I51" s="60" t="s">
        <v>380</v>
      </c>
      <c r="J51" s="61"/>
      <c r="K51" s="61"/>
      <c r="L51" s="61"/>
      <c r="M51" s="61"/>
      <c r="N51" s="61"/>
    </row>
    <row r="52" spans="2:15" ht="14.4" thickBot="1" x14ac:dyDescent="0.3">
      <c r="B52" s="180" t="s">
        <v>454</v>
      </c>
      <c r="C52" s="181" t="str">
        <f>IF('Model Controls'!$E$2='Unit Mix'!C$4,SUM(C42,C49),"")</f>
        <v/>
      </c>
      <c r="D52" s="181">
        <f>IF('Model Controls'!$E$2='Unit Mix'!D$4,SUM(D42,D49),"")</f>
        <v>136</v>
      </c>
      <c r="E52" s="181" t="str">
        <f>IF('Model Controls'!$E$2='Unit Mix'!E$4,SUM(E42,E49),"")</f>
        <v/>
      </c>
      <c r="F52" s="181" t="str">
        <f>IF('Model Controls'!$E$2='Unit Mix'!F$4,SUM(F42,F49),"")</f>
        <v/>
      </c>
      <c r="G52" s="341" t="str">
        <f>IF('Model Controls'!$E$2='Unit Mix'!G$4,SUM(G42,G49),"")</f>
        <v/>
      </c>
      <c r="I52" s="167" t="s">
        <v>146</v>
      </c>
      <c r="J52" s="103" t="str">
        <f>IF('Model Controls'!$E$2='Unit Mix'!J$30,IFERROR(ROUNDDOWN(J31*J$56,0),"n/a"),"")</f>
        <v/>
      </c>
      <c r="K52" s="103">
        <f>IF('Model Controls'!$E$2='Unit Mix'!K$30,IFERROR(ROUNDDOWN(K31*K$56,0),"n/a"),"")</f>
        <v>9</v>
      </c>
      <c r="L52" s="103" t="str">
        <f>IF('Model Controls'!$E$2='Unit Mix'!L$30,IFERROR(ROUNDDOWN(L31*L$56,0),"n/a"),"")</f>
        <v/>
      </c>
      <c r="M52" s="103" t="str">
        <f>IF('Model Controls'!$E$2='Unit Mix'!M$30,IFERROR(ROUNDDOWN(M31*M$56,0),"n/a"),"")</f>
        <v/>
      </c>
      <c r="N52" s="103" t="str">
        <f>IF('Model Controls'!$E$2='Unit Mix'!N$30,IFERROR(ROUNDDOWN(N31*N$56,0),"n/a"),"")</f>
        <v/>
      </c>
    </row>
    <row r="53" spans="2:15" x14ac:dyDescent="0.25">
      <c r="I53" s="167" t="s">
        <v>148</v>
      </c>
      <c r="J53" s="103" t="str">
        <f>IF('Model Controls'!$E$2='Unit Mix'!J$30,IFERROR(J56-SUM(J52,J54:J55),"n/a"),"")</f>
        <v/>
      </c>
      <c r="K53" s="103">
        <f>IF('Model Controls'!$E$2='Unit Mix'!K$30,IFERROR(K56-SUM(K52,K54:K55),"n/a"),"")</f>
        <v>20</v>
      </c>
      <c r="L53" s="103" t="str">
        <f>IF('Model Controls'!$E$2='Unit Mix'!L$30,IFERROR(L56-SUM(L52,L54:L55),"n/a"),"")</f>
        <v/>
      </c>
      <c r="M53" s="103" t="str">
        <f>IF('Model Controls'!$E$2='Unit Mix'!M$30,IFERROR(M56-SUM(M52,M54:M55),"n/a"),"")</f>
        <v/>
      </c>
      <c r="N53" s="103" t="str">
        <f>IF('Model Controls'!$E$2='Unit Mix'!N$30,IFERROR(N56-SUM(N52,N54:N55),"n/a"),"")</f>
        <v/>
      </c>
    </row>
    <row r="54" spans="2:15" x14ac:dyDescent="0.25">
      <c r="I54" s="167" t="s">
        <v>149</v>
      </c>
      <c r="J54" s="103" t="str">
        <f>IF('Model Controls'!$E$2='Unit Mix'!J$30,IFERROR(ROUNDDOWN(J33*J$56,0),"n/a"),"")</f>
        <v/>
      </c>
      <c r="K54" s="103">
        <f>IF('Model Controls'!$E$2='Unit Mix'!K$30,IFERROR(ROUNDDOWN(K33*K$56,0),"n/a"),"")</f>
        <v>3</v>
      </c>
      <c r="L54" s="103" t="str">
        <f>IF('Model Controls'!$E$2='Unit Mix'!L$30,IFERROR(ROUNDDOWN(L33*L$56,0),"n/a"),"")</f>
        <v/>
      </c>
      <c r="M54" s="103" t="str">
        <f>IF('Model Controls'!$E$2='Unit Mix'!M$30,IFERROR(ROUNDDOWN(M33*M$56,0),"n/a"),"")</f>
        <v/>
      </c>
      <c r="N54" s="103" t="str">
        <f>IF('Model Controls'!$E$2='Unit Mix'!N$30,IFERROR(ROUNDDOWN(N33*N$56,0),"n/a"),"")</f>
        <v/>
      </c>
      <c r="O54" s="103"/>
    </row>
    <row r="55" spans="2:15" x14ac:dyDescent="0.25">
      <c r="I55" s="167" t="s">
        <v>150</v>
      </c>
      <c r="J55" s="197" t="str">
        <f>IF('Model Controls'!$E$2='Unit Mix'!J$30,IFERROR(ROUNDDOWN(J41*J$56,0),"n/a"),"")</f>
        <v/>
      </c>
      <c r="K55" s="197">
        <f>IF('Model Controls'!$E$2='Unit Mix'!K$30,IFERROR(ROUNDDOWN(K41*K$56,0),"n/a"),"")</f>
        <v>0</v>
      </c>
      <c r="L55" s="197" t="str">
        <f>IF('Model Controls'!$E$2='Unit Mix'!L$30,IFERROR(ROUNDDOWN(L41*L$56,0),"n/a"),"")</f>
        <v/>
      </c>
      <c r="M55" s="197" t="str">
        <f>IF('Model Controls'!$E$2='Unit Mix'!M$30,IFERROR(ROUNDDOWN(M41*M$56,0),"n/a"),"")</f>
        <v/>
      </c>
      <c r="N55" s="197" t="str">
        <f>IF('Model Controls'!$E$2='Unit Mix'!N$30,IFERROR(ROUNDDOWN(N41*N$56,0),"n/a"),"")</f>
        <v/>
      </c>
    </row>
    <row r="56" spans="2:15" x14ac:dyDescent="0.25">
      <c r="I56" s="171" t="s">
        <v>206</v>
      </c>
      <c r="J56" s="236" t="str">
        <f>IF('Model Controls'!$E$2='Unit Mix'!J$30,IFERROR('Model Controls'!$K$53,"n/a"),"")</f>
        <v/>
      </c>
      <c r="K56" s="236">
        <f>IF('Model Controls'!$E$2='Unit Mix'!K$30,IFERROR('Model Controls'!$K$53,"n/a"),"")</f>
        <v>32</v>
      </c>
      <c r="L56" s="236" t="str">
        <f>IF('Model Controls'!$E$2='Unit Mix'!L$30,IFERROR('Model Controls'!$K$53,"n/a"),"")</f>
        <v/>
      </c>
      <c r="M56" s="236" t="str">
        <f>IF('Model Controls'!$E$2='Unit Mix'!M$30,IFERROR('Model Controls'!$K$53,"n/a"),"")</f>
        <v/>
      </c>
      <c r="N56" s="236" t="str">
        <f>IF('Model Controls'!$E$2='Unit Mix'!N$30,IFERROR('Model Controls'!$K$53,"n/a"),"")</f>
        <v/>
      </c>
    </row>
    <row r="57" spans="2:15" x14ac:dyDescent="0.25">
      <c r="I57" s="176" t="s">
        <v>454</v>
      </c>
      <c r="J57" s="177" t="str">
        <f>IF('Model Controls'!$E$2='Unit Mix'!J$30,SUM(J52:J55),"")</f>
        <v/>
      </c>
      <c r="K57" s="177">
        <f>IF('Model Controls'!$E$2='Unit Mix'!K$30,SUM(K52:K55),"")</f>
        <v>32</v>
      </c>
      <c r="L57" s="177" t="str">
        <f>IF('Model Controls'!$E$2='Unit Mix'!L$30,SUM(L52:L55),"")</f>
        <v/>
      </c>
      <c r="M57" s="177" t="str">
        <f>IF('Model Controls'!$E$2='Unit Mix'!M$30,SUM(M52:M55),"")</f>
        <v/>
      </c>
      <c r="N57" s="177" t="str">
        <f>IF('Model Controls'!$E$2='Unit Mix'!N$30,SUM(N52:N55),"")</f>
        <v/>
      </c>
    </row>
    <row r="58" spans="2:15" x14ac:dyDescent="0.25">
      <c r="I58" s="178" t="s">
        <v>206</v>
      </c>
      <c r="J58" s="179" t="str">
        <f>IF('Model Controls'!$E$2='Unit Mix'!J$30,'Prototype Inputs'!C162,"")</f>
        <v/>
      </c>
      <c r="K58" s="179">
        <f>IF('Model Controls'!$E$2='Unit Mix'!K$30,'Prototype Inputs'!D162,"")</f>
        <v>214</v>
      </c>
      <c r="L58" s="179" t="str">
        <f>IF('Model Controls'!$E$2='Unit Mix'!L$30,'Prototype Inputs'!E162,"")</f>
        <v/>
      </c>
      <c r="M58" s="179" t="str">
        <f>IF('Model Controls'!$E$2='Unit Mix'!M$30,'Prototype Inputs'!F162,"")</f>
        <v/>
      </c>
      <c r="N58" s="340" t="str">
        <f>IF('Model Controls'!$E$2='Unit Mix'!N$30,'Prototype Inputs'!G162,"")</f>
        <v/>
      </c>
    </row>
    <row r="59" spans="2:15" ht="14.4" thickBot="1" x14ac:dyDescent="0.3">
      <c r="I59" s="180" t="s">
        <v>454</v>
      </c>
      <c r="J59" s="181" t="str">
        <f>IF('Model Controls'!$E$2='Unit Mix'!J$30,SUM(J42,J49,J56),"")</f>
        <v/>
      </c>
      <c r="K59" s="181">
        <f>IF('Model Controls'!$E$2='Unit Mix'!K$30,SUM(K42,K49,K56),"")</f>
        <v>214</v>
      </c>
      <c r="L59" s="181" t="str">
        <f>IF('Model Controls'!$E$2='Unit Mix'!L$30,SUM(L42,L49,L56),"")</f>
        <v/>
      </c>
      <c r="M59" s="181" t="str">
        <f>IF('Model Controls'!$E$2='Unit Mix'!M$30,SUM(M42,M49,M56),"")</f>
        <v/>
      </c>
      <c r="N59" s="181" t="str">
        <f>IF('Model Controls'!$E$2='Unit Mix'!N$30,SUM(N42,N49,N56),"")</f>
        <v/>
      </c>
    </row>
    <row r="64" spans="2:15" x14ac:dyDescent="0.25">
      <c r="C64" s="191"/>
      <c r="D64" s="191"/>
      <c r="E64" s="19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31FB-98F6-4E69-83CA-F7E7E943AFE1}">
  <sheetPr codeName="Sheet17">
    <tabColor theme="7"/>
  </sheetPr>
  <dimension ref="B2:AX64"/>
  <sheetViews>
    <sheetView topLeftCell="F1" workbookViewId="0">
      <selection activeCell="A47" sqref="A47"/>
    </sheetView>
  </sheetViews>
  <sheetFormatPr defaultColWidth="8.69921875" defaultRowHeight="13.8" x14ac:dyDescent="0.25"/>
  <cols>
    <col min="1" max="1" width="8.69921875" style="78"/>
    <col min="2" max="2" width="31.59765625" style="78" customWidth="1"/>
    <col min="3" max="3" width="18.5" style="78" customWidth="1"/>
    <col min="4" max="5" width="11.5" style="78" customWidth="1"/>
    <col min="6" max="38" width="12.5" style="78" bestFit="1" customWidth="1"/>
    <col min="39" max="50" width="11.5" style="78" bestFit="1" customWidth="1"/>
    <col min="51" max="16384" width="8.69921875" style="78"/>
  </cols>
  <sheetData>
    <row r="2" spans="2:4" x14ac:dyDescent="0.25">
      <c r="B2" s="83" t="s">
        <v>211</v>
      </c>
      <c r="C2" s="78" t="str">
        <f>'Model Controls'!$E$2</f>
        <v>Mixed-Use Residential Mid-rise</v>
      </c>
    </row>
    <row r="4" spans="2:4" x14ac:dyDescent="0.25">
      <c r="B4" s="136" t="s">
        <v>139</v>
      </c>
    </row>
    <row r="5" spans="2:4" x14ac:dyDescent="0.25">
      <c r="B5" s="83" t="s">
        <v>455</v>
      </c>
    </row>
    <row r="6" spans="2:4" x14ac:dyDescent="0.25">
      <c r="B6" s="117" t="s">
        <v>177</v>
      </c>
      <c r="C6" s="182">
        <f>SUM(Model_Baseline!$K$19:$K$26,Model_Baseline!$K$30)</f>
        <v>52783314.000000007</v>
      </c>
    </row>
    <row r="7" spans="2:4" x14ac:dyDescent="0.25">
      <c r="B7" s="117" t="s">
        <v>179</v>
      </c>
      <c r="C7" s="182">
        <f>SUM(Model_Baseline!$K$31:$K$32)</f>
        <v>18246309.900000002</v>
      </c>
    </row>
    <row r="8" spans="2:4" x14ac:dyDescent="0.25">
      <c r="B8" s="117" t="s">
        <v>456</v>
      </c>
      <c r="C8" s="182">
        <f>SUM(Model_Baseline!$K$28:$K$29,Model_Baseline!$K$33)</f>
        <v>1844500</v>
      </c>
    </row>
    <row r="9" spans="2:4" x14ac:dyDescent="0.25">
      <c r="B9" s="83" t="s">
        <v>457</v>
      </c>
      <c r="C9" s="183">
        <f>SUM(C6:C8)</f>
        <v>72874123.900000006</v>
      </c>
      <c r="D9" s="183"/>
    </row>
    <row r="10" spans="2:4" x14ac:dyDescent="0.25">
      <c r="D10" s="183"/>
    </row>
    <row r="11" spans="2:4" x14ac:dyDescent="0.25">
      <c r="B11" s="83" t="s">
        <v>458</v>
      </c>
      <c r="C11" s="184" t="s">
        <v>350</v>
      </c>
    </row>
    <row r="12" spans="2:4" x14ac:dyDescent="0.25">
      <c r="B12" s="117" t="s">
        <v>459</v>
      </c>
      <c r="C12" s="151" cm="1">
        <f t="array" ref="C12">INDEX('Model Inputs'!$D$45:$H$45,0,MATCH(Financing!$C$2,'Model Inputs'!$D$3:$H$3,0))</f>
        <v>0.55000000000000004</v>
      </c>
    </row>
    <row r="13" spans="2:4" x14ac:dyDescent="0.25">
      <c r="B13" s="117" t="s">
        <v>460</v>
      </c>
      <c r="C13" s="151">
        <f>1-C12</f>
        <v>0.44999999999999996</v>
      </c>
    </row>
    <row r="14" spans="2:4" x14ac:dyDescent="0.25">
      <c r="B14" s="83" t="s">
        <v>461</v>
      </c>
      <c r="C14" s="99">
        <f>SUM(C12:C13)</f>
        <v>1</v>
      </c>
    </row>
    <row r="16" spans="2:4" x14ac:dyDescent="0.25">
      <c r="B16" s="83" t="s">
        <v>462</v>
      </c>
      <c r="C16" s="134" t="s">
        <v>350</v>
      </c>
    </row>
    <row r="17" spans="2:50" x14ac:dyDescent="0.25">
      <c r="B17" s="78" t="s">
        <v>173</v>
      </c>
      <c r="C17" s="78" cm="1">
        <f t="array" ref="C17">INDEX('Model Inputs'!$D$43:$H$43,0,MATCH(Financing!$C$2,'Model Inputs'!$D$3:$H$3,0))</f>
        <v>30</v>
      </c>
      <c r="D17" s="78" t="s">
        <v>435</v>
      </c>
    </row>
    <row r="18" spans="2:50" x14ac:dyDescent="0.25">
      <c r="B18" s="78" t="s">
        <v>174</v>
      </c>
      <c r="C18" s="162" cm="1">
        <f t="array" ref="C18">INDEX('Model Inputs'!$D$44:$H$44,0,MATCH(Financing!$C$2,'Model Inputs'!$D$3:$H$3,0))</f>
        <v>7.4999999999999997E-2</v>
      </c>
    </row>
    <row r="20" spans="2:50" x14ac:dyDescent="0.25">
      <c r="B20" s="78" t="s">
        <v>463</v>
      </c>
      <c r="C20" s="78">
        <v>1</v>
      </c>
      <c r="D20" s="78">
        <v>2</v>
      </c>
      <c r="E20" s="78">
        <v>3</v>
      </c>
      <c r="F20" s="78">
        <v>4</v>
      </c>
      <c r="G20" s="78">
        <v>5</v>
      </c>
      <c r="H20" s="78">
        <v>6</v>
      </c>
      <c r="I20" s="78">
        <v>7</v>
      </c>
      <c r="J20" s="78">
        <v>8</v>
      </c>
      <c r="K20" s="78">
        <v>9</v>
      </c>
      <c r="L20" s="78">
        <v>10</v>
      </c>
      <c r="M20" s="78">
        <v>11</v>
      </c>
      <c r="N20" s="78">
        <v>12</v>
      </c>
      <c r="O20" s="78">
        <v>13</v>
      </c>
      <c r="P20" s="78">
        <v>14</v>
      </c>
      <c r="Q20" s="78">
        <v>15</v>
      </c>
      <c r="R20" s="78">
        <v>16</v>
      </c>
      <c r="S20" s="78">
        <v>17</v>
      </c>
      <c r="T20" s="78">
        <v>18</v>
      </c>
      <c r="U20" s="78">
        <v>19</v>
      </c>
      <c r="V20" s="78">
        <v>20</v>
      </c>
      <c r="W20" s="78">
        <v>21</v>
      </c>
      <c r="X20" s="78">
        <v>22</v>
      </c>
      <c r="Y20" s="78">
        <v>23</v>
      </c>
      <c r="Z20" s="78">
        <v>24</v>
      </c>
      <c r="AA20" s="78">
        <v>25</v>
      </c>
      <c r="AB20" s="78">
        <v>26</v>
      </c>
      <c r="AC20" s="78">
        <v>27</v>
      </c>
      <c r="AD20" s="78">
        <v>28</v>
      </c>
      <c r="AE20" s="78">
        <v>29</v>
      </c>
      <c r="AF20" s="78">
        <v>30</v>
      </c>
      <c r="AG20" s="78">
        <v>31</v>
      </c>
      <c r="AH20" s="78">
        <v>32</v>
      </c>
      <c r="AI20" s="78">
        <v>33</v>
      </c>
      <c r="AJ20" s="78">
        <v>34</v>
      </c>
      <c r="AK20" s="78">
        <v>35</v>
      </c>
      <c r="AL20" s="78">
        <v>36</v>
      </c>
      <c r="AM20" s="78">
        <v>37</v>
      </c>
      <c r="AN20" s="78">
        <v>38</v>
      </c>
      <c r="AO20" s="78">
        <v>39</v>
      </c>
      <c r="AP20" s="78">
        <v>40</v>
      </c>
      <c r="AQ20" s="78">
        <v>41</v>
      </c>
      <c r="AR20" s="78">
        <v>42</v>
      </c>
      <c r="AS20" s="78">
        <v>43</v>
      </c>
      <c r="AT20" s="78">
        <v>44</v>
      </c>
      <c r="AU20" s="78">
        <v>45</v>
      </c>
      <c r="AV20" s="78">
        <v>46</v>
      </c>
      <c r="AW20" s="78">
        <v>47</v>
      </c>
      <c r="AX20" s="78">
        <v>48</v>
      </c>
    </row>
    <row r="21" spans="2:50" x14ac:dyDescent="0.25">
      <c r="B21" s="78" t="s">
        <v>464</v>
      </c>
      <c r="C21" s="183">
        <f>IF(C20&lt;=$C$17,IF(C20&lt;=$C$17,($C$9*$C$12)/$C$17),0)</f>
        <v>1336025.6048333335</v>
      </c>
      <c r="D21" s="183">
        <f>IF(D20&lt;=$C$17,IF(D20&lt;=$C$17,($C$9*$C$12)/$C$17)+C21,0)</f>
        <v>2672051.209666667</v>
      </c>
      <c r="E21" s="183">
        <f t="shared" ref="E21:AX21" si="0">IF(E20&lt;=$C$17,IF(E20&lt;=$C$17,($C$9*$C$12)/$C$17)+D21,0)</f>
        <v>4008076.8145000003</v>
      </c>
      <c r="F21" s="183">
        <f t="shared" si="0"/>
        <v>5344102.4193333341</v>
      </c>
      <c r="G21" s="183">
        <f t="shared" si="0"/>
        <v>6680128.0241666678</v>
      </c>
      <c r="H21" s="183">
        <f t="shared" si="0"/>
        <v>8016153.6290000016</v>
      </c>
      <c r="I21" s="183">
        <f t="shared" si="0"/>
        <v>9352179.2338333353</v>
      </c>
      <c r="J21" s="183">
        <f t="shared" si="0"/>
        <v>10688204.838666668</v>
      </c>
      <c r="K21" s="183">
        <f t="shared" si="0"/>
        <v>12024230.443500001</v>
      </c>
      <c r="L21" s="183">
        <f t="shared" si="0"/>
        <v>13360256.048333334</v>
      </c>
      <c r="M21" s="183">
        <f t="shared" si="0"/>
        <v>14696281.653166667</v>
      </c>
      <c r="N21" s="183">
        <f t="shared" si="0"/>
        <v>16032307.257999999</v>
      </c>
      <c r="O21" s="183">
        <f t="shared" si="0"/>
        <v>17368332.862833332</v>
      </c>
      <c r="P21" s="183">
        <f t="shared" si="0"/>
        <v>18704358.467666667</v>
      </c>
      <c r="Q21" s="183">
        <f t="shared" si="0"/>
        <v>20040384.072500002</v>
      </c>
      <c r="R21" s="183">
        <f t="shared" si="0"/>
        <v>21376409.677333336</v>
      </c>
      <c r="S21" s="183">
        <f t="shared" si="0"/>
        <v>22712435.282166671</v>
      </c>
      <c r="T21" s="183">
        <f t="shared" si="0"/>
        <v>24048460.887000006</v>
      </c>
      <c r="U21" s="183">
        <f t="shared" si="0"/>
        <v>25384486.49183334</v>
      </c>
      <c r="V21" s="183">
        <f t="shared" si="0"/>
        <v>26720512.096666675</v>
      </c>
      <c r="W21" s="183">
        <f t="shared" si="0"/>
        <v>28056537.70150001</v>
      </c>
      <c r="X21" s="183">
        <f t="shared" si="0"/>
        <v>29392563.306333344</v>
      </c>
      <c r="Y21" s="183">
        <f t="shared" si="0"/>
        <v>30728588.911166679</v>
      </c>
      <c r="Z21" s="183">
        <f t="shared" si="0"/>
        <v>32064614.516000014</v>
      </c>
      <c r="AA21" s="183">
        <f t="shared" si="0"/>
        <v>33400640.120833348</v>
      </c>
      <c r="AB21" s="183">
        <f t="shared" si="0"/>
        <v>34736665.725666679</v>
      </c>
      <c r="AC21" s="183">
        <f t="shared" si="0"/>
        <v>36072691.330500014</v>
      </c>
      <c r="AD21" s="183">
        <f t="shared" si="0"/>
        <v>37408716.935333349</v>
      </c>
      <c r="AE21" s="183">
        <f t="shared" si="0"/>
        <v>38744742.540166683</v>
      </c>
      <c r="AF21" s="183">
        <f t="shared" si="0"/>
        <v>40080768.145000018</v>
      </c>
      <c r="AG21" s="183">
        <f t="shared" si="0"/>
        <v>0</v>
      </c>
      <c r="AH21" s="183">
        <f t="shared" si="0"/>
        <v>0</v>
      </c>
      <c r="AI21" s="183">
        <f t="shared" si="0"/>
        <v>0</v>
      </c>
      <c r="AJ21" s="183">
        <f t="shared" si="0"/>
        <v>0</v>
      </c>
      <c r="AK21" s="183">
        <f t="shared" si="0"/>
        <v>0</v>
      </c>
      <c r="AL21" s="183">
        <f t="shared" si="0"/>
        <v>0</v>
      </c>
      <c r="AM21" s="183">
        <f t="shared" si="0"/>
        <v>0</v>
      </c>
      <c r="AN21" s="183">
        <f t="shared" si="0"/>
        <v>0</v>
      </c>
      <c r="AO21" s="183">
        <f t="shared" si="0"/>
        <v>0</v>
      </c>
      <c r="AP21" s="183">
        <f t="shared" si="0"/>
        <v>0</v>
      </c>
      <c r="AQ21" s="183">
        <f t="shared" si="0"/>
        <v>0</v>
      </c>
      <c r="AR21" s="183">
        <f t="shared" si="0"/>
        <v>0</v>
      </c>
      <c r="AS21" s="183">
        <f t="shared" si="0"/>
        <v>0</v>
      </c>
      <c r="AT21" s="183">
        <f t="shared" si="0"/>
        <v>0</v>
      </c>
      <c r="AU21" s="183">
        <f t="shared" si="0"/>
        <v>0</v>
      </c>
      <c r="AV21" s="183">
        <f t="shared" si="0"/>
        <v>0</v>
      </c>
      <c r="AW21" s="183">
        <f t="shared" si="0"/>
        <v>0</v>
      </c>
      <c r="AX21" s="183">
        <f t="shared" si="0"/>
        <v>0</v>
      </c>
    </row>
    <row r="22" spans="2:50" x14ac:dyDescent="0.25">
      <c r="B22" s="78" t="s">
        <v>465</v>
      </c>
      <c r="C22" s="131">
        <f>IF(C20&lt;=$C$17,IFERROR(C21*($C$18/12),""),0)</f>
        <v>8350.1600302083334</v>
      </c>
      <c r="D22" s="131">
        <f t="shared" ref="D22:AX22" si="1">IF(D20&lt;=$C$17,IFERROR(D21*($C$18/12),""),0)</f>
        <v>16700.320060416667</v>
      </c>
      <c r="E22" s="131">
        <f t="shared" si="1"/>
        <v>25050.480090624998</v>
      </c>
      <c r="F22" s="131">
        <f t="shared" si="1"/>
        <v>33400.640120833334</v>
      </c>
      <c r="G22" s="131">
        <f t="shared" si="1"/>
        <v>41750.800151041673</v>
      </c>
      <c r="H22" s="131">
        <f t="shared" si="1"/>
        <v>50100.960181250004</v>
      </c>
      <c r="I22" s="131">
        <f t="shared" si="1"/>
        <v>58451.120211458343</v>
      </c>
      <c r="J22" s="131">
        <f t="shared" si="1"/>
        <v>66801.280241666667</v>
      </c>
      <c r="K22" s="131">
        <f t="shared" si="1"/>
        <v>75151.440271875006</v>
      </c>
      <c r="L22" s="131">
        <f t="shared" si="1"/>
        <v>83501.60030208333</v>
      </c>
      <c r="M22" s="131">
        <f t="shared" si="1"/>
        <v>91851.760332291655</v>
      </c>
      <c r="N22" s="131">
        <f t="shared" si="1"/>
        <v>100201.92036249999</v>
      </c>
      <c r="O22" s="131">
        <f t="shared" si="1"/>
        <v>108552.08039270832</v>
      </c>
      <c r="P22" s="131">
        <f t="shared" si="1"/>
        <v>116902.24042291666</v>
      </c>
      <c r="Q22" s="131">
        <f t="shared" si="1"/>
        <v>125252.400453125</v>
      </c>
      <c r="R22" s="131">
        <f t="shared" si="1"/>
        <v>133602.56048333333</v>
      </c>
      <c r="S22" s="131">
        <f t="shared" si="1"/>
        <v>141952.72051354169</v>
      </c>
      <c r="T22" s="131">
        <f t="shared" si="1"/>
        <v>150302.88054375001</v>
      </c>
      <c r="U22" s="131">
        <f t="shared" si="1"/>
        <v>158653.04057395837</v>
      </c>
      <c r="V22" s="131">
        <f t="shared" si="1"/>
        <v>167003.20060416672</v>
      </c>
      <c r="W22" s="131">
        <f t="shared" si="1"/>
        <v>175353.36063437504</v>
      </c>
      <c r="X22" s="131">
        <f t="shared" si="1"/>
        <v>183703.5206645834</v>
      </c>
      <c r="Y22" s="131">
        <f t="shared" si="1"/>
        <v>192053.68069479172</v>
      </c>
      <c r="Z22" s="131">
        <f t="shared" si="1"/>
        <v>200403.84072500007</v>
      </c>
      <c r="AA22" s="131">
        <f t="shared" si="1"/>
        <v>208754.0007552084</v>
      </c>
      <c r="AB22" s="131">
        <f t="shared" si="1"/>
        <v>217104.16078541672</v>
      </c>
      <c r="AC22" s="131">
        <f t="shared" si="1"/>
        <v>225454.32081562508</v>
      </c>
      <c r="AD22" s="131">
        <f t="shared" si="1"/>
        <v>233804.4808458334</v>
      </c>
      <c r="AE22" s="131">
        <f t="shared" si="1"/>
        <v>242154.64087604175</v>
      </c>
      <c r="AF22" s="131">
        <f t="shared" si="1"/>
        <v>250504.80090625008</v>
      </c>
      <c r="AG22" s="131">
        <f t="shared" si="1"/>
        <v>0</v>
      </c>
      <c r="AH22" s="131">
        <f t="shared" si="1"/>
        <v>0</v>
      </c>
      <c r="AI22" s="131">
        <f t="shared" si="1"/>
        <v>0</v>
      </c>
      <c r="AJ22" s="131">
        <f t="shared" si="1"/>
        <v>0</v>
      </c>
      <c r="AK22" s="131">
        <f t="shared" si="1"/>
        <v>0</v>
      </c>
      <c r="AL22" s="131">
        <f t="shared" si="1"/>
        <v>0</v>
      </c>
      <c r="AM22" s="131">
        <f t="shared" si="1"/>
        <v>0</v>
      </c>
      <c r="AN22" s="131">
        <f t="shared" si="1"/>
        <v>0</v>
      </c>
      <c r="AO22" s="131">
        <f t="shared" si="1"/>
        <v>0</v>
      </c>
      <c r="AP22" s="131">
        <f t="shared" si="1"/>
        <v>0</v>
      </c>
      <c r="AQ22" s="131">
        <f t="shared" si="1"/>
        <v>0</v>
      </c>
      <c r="AR22" s="131">
        <f t="shared" si="1"/>
        <v>0</v>
      </c>
      <c r="AS22" s="131">
        <f t="shared" si="1"/>
        <v>0</v>
      </c>
      <c r="AT22" s="131">
        <f t="shared" si="1"/>
        <v>0</v>
      </c>
      <c r="AU22" s="131">
        <f t="shared" si="1"/>
        <v>0</v>
      </c>
      <c r="AV22" s="131">
        <f t="shared" si="1"/>
        <v>0</v>
      </c>
      <c r="AW22" s="131">
        <f t="shared" si="1"/>
        <v>0</v>
      </c>
      <c r="AX22" s="131">
        <f t="shared" si="1"/>
        <v>0</v>
      </c>
    </row>
    <row r="24" spans="2:50" x14ac:dyDescent="0.25">
      <c r="C24" s="183"/>
    </row>
    <row r="25" spans="2:50" x14ac:dyDescent="0.25">
      <c r="B25" s="136" t="s">
        <v>140</v>
      </c>
    </row>
    <row r="26" spans="2:50" x14ac:dyDescent="0.25">
      <c r="B26" s="83" t="s">
        <v>455</v>
      </c>
    </row>
    <row r="27" spans="2:50" x14ac:dyDescent="0.25">
      <c r="B27" s="117" t="s">
        <v>177</v>
      </c>
      <c r="C27" s="182">
        <f>SUM(Model_Scenario_Base!$K$19:$K$26,Model_Scenario_Base!$K$30)</f>
        <v>52783314.000000007</v>
      </c>
    </row>
    <row r="28" spans="2:50" x14ac:dyDescent="0.25">
      <c r="B28" s="117" t="s">
        <v>179</v>
      </c>
      <c r="C28" s="182">
        <f>SUM(Model_Scenario_Base!$K$31:$K$32)</f>
        <v>18246309.900000002</v>
      </c>
    </row>
    <row r="29" spans="2:50" x14ac:dyDescent="0.25">
      <c r="B29" s="117" t="s">
        <v>456</v>
      </c>
      <c r="C29" s="182">
        <f>SUM(Model_Scenario_Base!$K$28:$K$29,Model_Scenario_Base!$K$33)</f>
        <v>1844500</v>
      </c>
    </row>
    <row r="30" spans="2:50" x14ac:dyDescent="0.25">
      <c r="B30" s="83" t="s">
        <v>457</v>
      </c>
      <c r="C30" s="183">
        <f>SUM(C27:C29)</f>
        <v>72874123.900000006</v>
      </c>
      <c r="D30" s="183"/>
    </row>
    <row r="31" spans="2:50" x14ac:dyDescent="0.25">
      <c r="D31" s="183"/>
    </row>
    <row r="32" spans="2:50" x14ac:dyDescent="0.25">
      <c r="B32" s="83" t="s">
        <v>458</v>
      </c>
      <c r="C32" s="184" t="s">
        <v>350</v>
      </c>
    </row>
    <row r="33" spans="2:50" x14ac:dyDescent="0.25">
      <c r="B33" s="117" t="s">
        <v>459</v>
      </c>
      <c r="C33" s="151" cm="1">
        <f t="array" ref="C33">INDEX('Model Inputs'!$D$45:$H$45,0,MATCH(Financing!$C$2,'Model Inputs'!$D$3:$H$3,0))</f>
        <v>0.55000000000000004</v>
      </c>
    </row>
    <row r="34" spans="2:50" x14ac:dyDescent="0.25">
      <c r="B34" s="117" t="s">
        <v>460</v>
      </c>
      <c r="C34" s="151">
        <f>1-C33</f>
        <v>0.44999999999999996</v>
      </c>
    </row>
    <row r="35" spans="2:50" x14ac:dyDescent="0.25">
      <c r="B35" s="83" t="s">
        <v>461</v>
      </c>
      <c r="C35" s="99">
        <f>SUM(C33:C34)</f>
        <v>1</v>
      </c>
    </row>
    <row r="37" spans="2:50" x14ac:dyDescent="0.25">
      <c r="B37" s="83" t="s">
        <v>462</v>
      </c>
      <c r="C37" s="134" t="s">
        <v>350</v>
      </c>
    </row>
    <row r="38" spans="2:50" x14ac:dyDescent="0.25">
      <c r="B38" s="78" t="s">
        <v>173</v>
      </c>
      <c r="C38" s="78" cm="1">
        <f t="array" ref="C38">INDEX('Model Inputs'!$D$43:$H$43,0,MATCH(Financing!$C$2,'Model Inputs'!$D$3:$H$3,0))</f>
        <v>30</v>
      </c>
      <c r="D38" s="78" t="s">
        <v>435</v>
      </c>
    </row>
    <row r="39" spans="2:50" x14ac:dyDescent="0.25">
      <c r="B39" s="78" t="s">
        <v>174</v>
      </c>
      <c r="C39" s="162" cm="1">
        <f t="array" ref="C39">INDEX('Model Inputs'!$D$44:$H$44,0,MATCH(Financing!$C$2,'Model Inputs'!$D$3:$H$3,0))</f>
        <v>7.4999999999999997E-2</v>
      </c>
    </row>
    <row r="41" spans="2:50" x14ac:dyDescent="0.25">
      <c r="B41" s="78" t="s">
        <v>463</v>
      </c>
      <c r="C41" s="78">
        <v>1</v>
      </c>
      <c r="D41" s="78">
        <v>2</v>
      </c>
      <c r="E41" s="78">
        <v>3</v>
      </c>
      <c r="F41" s="78">
        <v>4</v>
      </c>
      <c r="G41" s="78">
        <v>5</v>
      </c>
      <c r="H41" s="78">
        <v>6</v>
      </c>
      <c r="I41" s="78">
        <v>7</v>
      </c>
      <c r="J41" s="78">
        <v>8</v>
      </c>
      <c r="K41" s="78">
        <v>9</v>
      </c>
      <c r="L41" s="78">
        <v>10</v>
      </c>
      <c r="M41" s="78">
        <v>11</v>
      </c>
      <c r="N41" s="78">
        <v>12</v>
      </c>
      <c r="O41" s="78">
        <v>13</v>
      </c>
      <c r="P41" s="78">
        <v>14</v>
      </c>
      <c r="Q41" s="78">
        <v>15</v>
      </c>
      <c r="R41" s="78">
        <v>16</v>
      </c>
      <c r="S41" s="78">
        <v>17</v>
      </c>
      <c r="T41" s="78">
        <v>18</v>
      </c>
      <c r="U41" s="78">
        <v>19</v>
      </c>
      <c r="V41" s="78">
        <v>20</v>
      </c>
      <c r="W41" s="78">
        <v>21</v>
      </c>
      <c r="X41" s="78">
        <v>22</v>
      </c>
      <c r="Y41" s="78">
        <v>23</v>
      </c>
      <c r="Z41" s="78">
        <v>24</v>
      </c>
      <c r="AA41" s="78">
        <v>25</v>
      </c>
      <c r="AB41" s="78">
        <v>26</v>
      </c>
      <c r="AC41" s="78">
        <v>27</v>
      </c>
      <c r="AD41" s="78">
        <v>28</v>
      </c>
      <c r="AE41" s="78">
        <v>29</v>
      </c>
      <c r="AF41" s="78">
        <v>30</v>
      </c>
      <c r="AG41" s="78">
        <v>31</v>
      </c>
      <c r="AH41" s="78">
        <v>32</v>
      </c>
      <c r="AI41" s="78">
        <v>33</v>
      </c>
      <c r="AJ41" s="78">
        <v>34</v>
      </c>
      <c r="AK41" s="78">
        <v>35</v>
      </c>
      <c r="AL41" s="78">
        <v>36</v>
      </c>
      <c r="AM41" s="78">
        <v>37</v>
      </c>
      <c r="AN41" s="78">
        <v>38</v>
      </c>
      <c r="AO41" s="78">
        <v>39</v>
      </c>
      <c r="AP41" s="78">
        <v>40</v>
      </c>
      <c r="AQ41" s="78">
        <v>41</v>
      </c>
      <c r="AR41" s="78">
        <v>42</v>
      </c>
      <c r="AS41" s="78">
        <v>43</v>
      </c>
      <c r="AT41" s="78">
        <v>44</v>
      </c>
      <c r="AU41" s="78">
        <v>45</v>
      </c>
      <c r="AV41" s="78">
        <v>46</v>
      </c>
      <c r="AW41" s="78">
        <v>47</v>
      </c>
      <c r="AX41" s="78">
        <v>48</v>
      </c>
    </row>
    <row r="42" spans="2:50" x14ac:dyDescent="0.25">
      <c r="B42" s="78" t="s">
        <v>464</v>
      </c>
      <c r="C42" s="183">
        <f>IF(C41&lt;=$C$38,IF(C41&lt;=$C$38,($C$30*$C$33)/$C$38),0)</f>
        <v>1336025.6048333335</v>
      </c>
      <c r="D42" s="183">
        <f>IF(D41&lt;=$C$38,IF(D41&lt;=$C$38,($C$30*$C$33)/$C$38)+C42,0)</f>
        <v>2672051.209666667</v>
      </c>
      <c r="E42" s="183">
        <f t="shared" ref="E42:AX42" si="2">IF(E41&lt;=$C$38,IF(E41&lt;=$C$38,($C$30*$C$33)/$C$38)+D42,0)</f>
        <v>4008076.8145000003</v>
      </c>
      <c r="F42" s="183">
        <f t="shared" si="2"/>
        <v>5344102.4193333341</v>
      </c>
      <c r="G42" s="183">
        <f t="shared" si="2"/>
        <v>6680128.0241666678</v>
      </c>
      <c r="H42" s="183">
        <f t="shared" si="2"/>
        <v>8016153.6290000016</v>
      </c>
      <c r="I42" s="183">
        <f t="shared" si="2"/>
        <v>9352179.2338333353</v>
      </c>
      <c r="J42" s="183">
        <f t="shared" si="2"/>
        <v>10688204.838666668</v>
      </c>
      <c r="K42" s="183">
        <f t="shared" si="2"/>
        <v>12024230.443500001</v>
      </c>
      <c r="L42" s="183">
        <f t="shared" si="2"/>
        <v>13360256.048333334</v>
      </c>
      <c r="M42" s="183">
        <f t="shared" si="2"/>
        <v>14696281.653166667</v>
      </c>
      <c r="N42" s="183">
        <f t="shared" si="2"/>
        <v>16032307.257999999</v>
      </c>
      <c r="O42" s="183">
        <f t="shared" si="2"/>
        <v>17368332.862833332</v>
      </c>
      <c r="P42" s="183">
        <f t="shared" si="2"/>
        <v>18704358.467666667</v>
      </c>
      <c r="Q42" s="183">
        <f t="shared" si="2"/>
        <v>20040384.072500002</v>
      </c>
      <c r="R42" s="183">
        <f t="shared" si="2"/>
        <v>21376409.677333336</v>
      </c>
      <c r="S42" s="183">
        <f t="shared" si="2"/>
        <v>22712435.282166671</v>
      </c>
      <c r="T42" s="183">
        <f t="shared" si="2"/>
        <v>24048460.887000006</v>
      </c>
      <c r="U42" s="183">
        <f t="shared" si="2"/>
        <v>25384486.49183334</v>
      </c>
      <c r="V42" s="183">
        <f t="shared" si="2"/>
        <v>26720512.096666675</v>
      </c>
      <c r="W42" s="183">
        <f t="shared" si="2"/>
        <v>28056537.70150001</v>
      </c>
      <c r="X42" s="183">
        <f t="shared" si="2"/>
        <v>29392563.306333344</v>
      </c>
      <c r="Y42" s="183">
        <f t="shared" si="2"/>
        <v>30728588.911166679</v>
      </c>
      <c r="Z42" s="183">
        <f t="shared" si="2"/>
        <v>32064614.516000014</v>
      </c>
      <c r="AA42" s="183">
        <f t="shared" si="2"/>
        <v>33400640.120833348</v>
      </c>
      <c r="AB42" s="183">
        <f t="shared" si="2"/>
        <v>34736665.725666679</v>
      </c>
      <c r="AC42" s="183">
        <f t="shared" si="2"/>
        <v>36072691.330500014</v>
      </c>
      <c r="AD42" s="183">
        <f t="shared" si="2"/>
        <v>37408716.935333349</v>
      </c>
      <c r="AE42" s="183">
        <f t="shared" si="2"/>
        <v>38744742.540166683</v>
      </c>
      <c r="AF42" s="183">
        <f t="shared" si="2"/>
        <v>40080768.145000018</v>
      </c>
      <c r="AG42" s="183">
        <f t="shared" si="2"/>
        <v>0</v>
      </c>
      <c r="AH42" s="183">
        <f t="shared" si="2"/>
        <v>0</v>
      </c>
      <c r="AI42" s="183">
        <f t="shared" si="2"/>
        <v>0</v>
      </c>
      <c r="AJ42" s="183">
        <f t="shared" si="2"/>
        <v>0</v>
      </c>
      <c r="AK42" s="183">
        <f t="shared" si="2"/>
        <v>0</v>
      </c>
      <c r="AL42" s="183">
        <f t="shared" si="2"/>
        <v>0</v>
      </c>
      <c r="AM42" s="183">
        <f t="shared" si="2"/>
        <v>0</v>
      </c>
      <c r="AN42" s="183">
        <f t="shared" si="2"/>
        <v>0</v>
      </c>
      <c r="AO42" s="183">
        <f t="shared" si="2"/>
        <v>0</v>
      </c>
      <c r="AP42" s="183">
        <f t="shared" si="2"/>
        <v>0</v>
      </c>
      <c r="AQ42" s="183">
        <f t="shared" si="2"/>
        <v>0</v>
      </c>
      <c r="AR42" s="183">
        <f t="shared" si="2"/>
        <v>0</v>
      </c>
      <c r="AS42" s="183">
        <f t="shared" si="2"/>
        <v>0</v>
      </c>
      <c r="AT42" s="183">
        <f t="shared" si="2"/>
        <v>0</v>
      </c>
      <c r="AU42" s="183">
        <f t="shared" si="2"/>
        <v>0</v>
      </c>
      <c r="AV42" s="183">
        <f t="shared" si="2"/>
        <v>0</v>
      </c>
      <c r="AW42" s="183">
        <f t="shared" si="2"/>
        <v>0</v>
      </c>
      <c r="AX42" s="183">
        <f t="shared" si="2"/>
        <v>0</v>
      </c>
    </row>
    <row r="43" spans="2:50" x14ac:dyDescent="0.25">
      <c r="B43" s="78" t="s">
        <v>465</v>
      </c>
      <c r="C43" s="131">
        <f>IF(C41&lt;=$C$38,IFERROR(C42*($C$39/12),""),0)</f>
        <v>8350.1600302083334</v>
      </c>
      <c r="D43" s="131">
        <f t="shared" ref="D43:AX43" si="3">IF(D41&lt;=$C$38,IFERROR(D42*($C$39/12),""),0)</f>
        <v>16700.320060416667</v>
      </c>
      <c r="E43" s="131">
        <f t="shared" si="3"/>
        <v>25050.480090624998</v>
      </c>
      <c r="F43" s="131">
        <f t="shared" si="3"/>
        <v>33400.640120833334</v>
      </c>
      <c r="G43" s="131">
        <f t="shared" si="3"/>
        <v>41750.800151041673</v>
      </c>
      <c r="H43" s="131">
        <f t="shared" si="3"/>
        <v>50100.960181250004</v>
      </c>
      <c r="I43" s="131">
        <f t="shared" si="3"/>
        <v>58451.120211458343</v>
      </c>
      <c r="J43" s="131">
        <f t="shared" si="3"/>
        <v>66801.280241666667</v>
      </c>
      <c r="K43" s="131">
        <f t="shared" si="3"/>
        <v>75151.440271875006</v>
      </c>
      <c r="L43" s="131">
        <f t="shared" si="3"/>
        <v>83501.60030208333</v>
      </c>
      <c r="M43" s="131">
        <f t="shared" si="3"/>
        <v>91851.760332291655</v>
      </c>
      <c r="N43" s="131">
        <f t="shared" si="3"/>
        <v>100201.92036249999</v>
      </c>
      <c r="O43" s="131">
        <f t="shared" si="3"/>
        <v>108552.08039270832</v>
      </c>
      <c r="P43" s="131">
        <f t="shared" si="3"/>
        <v>116902.24042291666</v>
      </c>
      <c r="Q43" s="131">
        <f t="shared" si="3"/>
        <v>125252.400453125</v>
      </c>
      <c r="R43" s="131">
        <f t="shared" si="3"/>
        <v>133602.56048333333</v>
      </c>
      <c r="S43" s="131">
        <f t="shared" si="3"/>
        <v>141952.72051354169</v>
      </c>
      <c r="T43" s="131">
        <f t="shared" si="3"/>
        <v>150302.88054375001</v>
      </c>
      <c r="U43" s="131">
        <f t="shared" si="3"/>
        <v>158653.04057395837</v>
      </c>
      <c r="V43" s="131">
        <f t="shared" si="3"/>
        <v>167003.20060416672</v>
      </c>
      <c r="W43" s="131">
        <f t="shared" si="3"/>
        <v>175353.36063437504</v>
      </c>
      <c r="X43" s="131">
        <f t="shared" si="3"/>
        <v>183703.5206645834</v>
      </c>
      <c r="Y43" s="131">
        <f t="shared" si="3"/>
        <v>192053.68069479172</v>
      </c>
      <c r="Z43" s="131">
        <f t="shared" si="3"/>
        <v>200403.84072500007</v>
      </c>
      <c r="AA43" s="131">
        <f t="shared" si="3"/>
        <v>208754.0007552084</v>
      </c>
      <c r="AB43" s="131">
        <f t="shared" si="3"/>
        <v>217104.16078541672</v>
      </c>
      <c r="AC43" s="131">
        <f t="shared" si="3"/>
        <v>225454.32081562508</v>
      </c>
      <c r="AD43" s="131">
        <f t="shared" si="3"/>
        <v>233804.4808458334</v>
      </c>
      <c r="AE43" s="131">
        <f t="shared" si="3"/>
        <v>242154.64087604175</v>
      </c>
      <c r="AF43" s="131">
        <f t="shared" si="3"/>
        <v>250504.80090625008</v>
      </c>
      <c r="AG43" s="131">
        <f t="shared" si="3"/>
        <v>0</v>
      </c>
      <c r="AH43" s="131">
        <f t="shared" si="3"/>
        <v>0</v>
      </c>
      <c r="AI43" s="131">
        <f t="shared" si="3"/>
        <v>0</v>
      </c>
      <c r="AJ43" s="131">
        <f t="shared" si="3"/>
        <v>0</v>
      </c>
      <c r="AK43" s="131">
        <f t="shared" si="3"/>
        <v>0</v>
      </c>
      <c r="AL43" s="131">
        <f t="shared" si="3"/>
        <v>0</v>
      </c>
      <c r="AM43" s="131">
        <f t="shared" si="3"/>
        <v>0</v>
      </c>
      <c r="AN43" s="131">
        <f t="shared" si="3"/>
        <v>0</v>
      </c>
      <c r="AO43" s="131">
        <f t="shared" si="3"/>
        <v>0</v>
      </c>
      <c r="AP43" s="131">
        <f t="shared" si="3"/>
        <v>0</v>
      </c>
      <c r="AQ43" s="131">
        <f t="shared" si="3"/>
        <v>0</v>
      </c>
      <c r="AR43" s="131">
        <f t="shared" si="3"/>
        <v>0</v>
      </c>
      <c r="AS43" s="131">
        <f t="shared" si="3"/>
        <v>0</v>
      </c>
      <c r="AT43" s="131">
        <f t="shared" si="3"/>
        <v>0</v>
      </c>
      <c r="AU43" s="131">
        <f t="shared" si="3"/>
        <v>0</v>
      </c>
      <c r="AV43" s="131">
        <f t="shared" si="3"/>
        <v>0</v>
      </c>
      <c r="AW43" s="131">
        <f t="shared" si="3"/>
        <v>0</v>
      </c>
      <c r="AX43" s="131">
        <f t="shared" si="3"/>
        <v>0</v>
      </c>
    </row>
    <row r="45" spans="2:50" x14ac:dyDescent="0.25">
      <c r="C45" s="183"/>
    </row>
    <row r="46" spans="2:50" x14ac:dyDescent="0.25">
      <c r="B46" s="136" t="s">
        <v>142</v>
      </c>
    </row>
    <row r="47" spans="2:50" x14ac:dyDescent="0.25">
      <c r="B47" s="83" t="s">
        <v>455</v>
      </c>
    </row>
    <row r="48" spans="2:50" x14ac:dyDescent="0.25">
      <c r="B48" s="117" t="s">
        <v>177</v>
      </c>
      <c r="C48" s="182">
        <f>SUM(Model_Scenario_Max!$K$19:$K$26,Model_Scenario_Max!$K$30,Model_Scenario_Max!$K$34:$K$36)</f>
        <v>82679472</v>
      </c>
    </row>
    <row r="49" spans="2:50" x14ac:dyDescent="0.25">
      <c r="B49" s="117" t="s">
        <v>179</v>
      </c>
      <c r="C49" s="182">
        <f>SUM(Model_Scenario_Max!$K$31:$K$32)</f>
        <v>28709965.199999999</v>
      </c>
    </row>
    <row r="50" spans="2:50" x14ac:dyDescent="0.25">
      <c r="B50" s="117" t="s">
        <v>456</v>
      </c>
      <c r="C50" s="182">
        <f>SUM(Model_Scenario_Max!$K$28:$K$29,Model_Scenario_Max!$K$33:$K$36)</f>
        <v>2898500</v>
      </c>
    </row>
    <row r="51" spans="2:50" x14ac:dyDescent="0.25">
      <c r="B51" s="83" t="s">
        <v>457</v>
      </c>
      <c r="C51" s="183">
        <f>SUM(C48:C50)</f>
        <v>114287937.2</v>
      </c>
    </row>
    <row r="53" spans="2:50" x14ac:dyDescent="0.25">
      <c r="B53" s="83" t="s">
        <v>458</v>
      </c>
      <c r="C53" s="184" t="s">
        <v>350</v>
      </c>
    </row>
    <row r="54" spans="2:50" x14ac:dyDescent="0.25">
      <c r="B54" s="117" t="s">
        <v>459</v>
      </c>
      <c r="C54" s="151" cm="1">
        <f t="array" ref="C54">INDEX('Model Inputs'!$D$45:$H$45,0,MATCH(Financing!$C$2,'Model Inputs'!$D$3:$H$3,0))</f>
        <v>0.55000000000000004</v>
      </c>
    </row>
    <row r="55" spans="2:50" x14ac:dyDescent="0.25">
      <c r="B55" s="117" t="s">
        <v>460</v>
      </c>
      <c r="C55" s="151">
        <f>1-C54</f>
        <v>0.44999999999999996</v>
      </c>
    </row>
    <row r="56" spans="2:50" x14ac:dyDescent="0.25">
      <c r="B56" s="83" t="s">
        <v>461</v>
      </c>
      <c r="C56" s="99">
        <f>SUM(C54:C55)</f>
        <v>1</v>
      </c>
    </row>
    <row r="58" spans="2:50" x14ac:dyDescent="0.25">
      <c r="B58" s="83" t="s">
        <v>462</v>
      </c>
      <c r="C58" s="134" t="s">
        <v>350</v>
      </c>
    </row>
    <row r="59" spans="2:50" x14ac:dyDescent="0.25">
      <c r="B59" s="78" t="s">
        <v>173</v>
      </c>
      <c r="C59" s="78" cm="1">
        <f t="array" ref="C59">INDEX('Model Inputs'!$D$43:$H$43,0,MATCH(Financing!$C$2,'Model Inputs'!$D$3:$H$3,0))</f>
        <v>30</v>
      </c>
      <c r="D59" s="78" t="s">
        <v>435</v>
      </c>
    </row>
    <row r="60" spans="2:50" x14ac:dyDescent="0.25">
      <c r="B60" s="78" t="s">
        <v>174</v>
      </c>
      <c r="C60" s="162" cm="1">
        <f t="array" ref="C60">INDEX('Model Inputs'!$D$44:$H$44,0,MATCH(Financing!$C$2,'Model Inputs'!$D$3:$H$3,0))</f>
        <v>7.4999999999999997E-2</v>
      </c>
    </row>
    <row r="62" spans="2:50" x14ac:dyDescent="0.25">
      <c r="B62" s="78" t="s">
        <v>463</v>
      </c>
      <c r="C62" s="78">
        <v>1</v>
      </c>
      <c r="D62" s="78">
        <v>2</v>
      </c>
      <c r="E62" s="78">
        <v>3</v>
      </c>
      <c r="F62" s="78">
        <v>4</v>
      </c>
      <c r="G62" s="78">
        <v>5</v>
      </c>
      <c r="H62" s="78">
        <v>6</v>
      </c>
      <c r="I62" s="78">
        <v>7</v>
      </c>
      <c r="J62" s="78">
        <v>8</v>
      </c>
      <c r="K62" s="78">
        <v>9</v>
      </c>
      <c r="L62" s="78">
        <v>10</v>
      </c>
      <c r="M62" s="78">
        <v>11</v>
      </c>
      <c r="N62" s="78">
        <v>12</v>
      </c>
      <c r="O62" s="78">
        <v>13</v>
      </c>
      <c r="P62" s="78">
        <v>14</v>
      </c>
      <c r="Q62" s="78">
        <v>15</v>
      </c>
      <c r="R62" s="78">
        <v>16</v>
      </c>
      <c r="S62" s="78">
        <v>17</v>
      </c>
      <c r="T62" s="78">
        <v>18</v>
      </c>
      <c r="U62" s="78">
        <v>19</v>
      </c>
      <c r="V62" s="78">
        <v>20</v>
      </c>
      <c r="W62" s="78">
        <v>21</v>
      </c>
      <c r="X62" s="78">
        <v>22</v>
      </c>
      <c r="Y62" s="78">
        <v>23</v>
      </c>
      <c r="Z62" s="78">
        <v>24</v>
      </c>
      <c r="AA62" s="78">
        <v>25</v>
      </c>
      <c r="AB62" s="78">
        <v>26</v>
      </c>
      <c r="AC62" s="78">
        <v>27</v>
      </c>
      <c r="AD62" s="78">
        <v>28</v>
      </c>
      <c r="AE62" s="78">
        <v>29</v>
      </c>
      <c r="AF62" s="78">
        <v>30</v>
      </c>
      <c r="AG62" s="78">
        <v>31</v>
      </c>
      <c r="AH62" s="78">
        <v>32</v>
      </c>
      <c r="AI62" s="78">
        <v>33</v>
      </c>
      <c r="AJ62" s="78">
        <v>34</v>
      </c>
      <c r="AK62" s="78">
        <v>35</v>
      </c>
      <c r="AL62" s="78">
        <v>36</v>
      </c>
      <c r="AM62" s="78">
        <v>37</v>
      </c>
      <c r="AN62" s="78">
        <v>38</v>
      </c>
      <c r="AO62" s="78">
        <v>39</v>
      </c>
      <c r="AP62" s="78">
        <v>40</v>
      </c>
      <c r="AQ62" s="78">
        <v>41</v>
      </c>
      <c r="AR62" s="78">
        <v>42</v>
      </c>
      <c r="AS62" s="78">
        <v>43</v>
      </c>
      <c r="AT62" s="78">
        <v>44</v>
      </c>
      <c r="AU62" s="78">
        <v>45</v>
      </c>
      <c r="AV62" s="78">
        <v>46</v>
      </c>
      <c r="AW62" s="78">
        <v>47</v>
      </c>
      <c r="AX62" s="78">
        <v>48</v>
      </c>
    </row>
    <row r="63" spans="2:50" x14ac:dyDescent="0.25">
      <c r="B63" s="78" t="s">
        <v>466</v>
      </c>
      <c r="C63" s="183">
        <f>IF(C62&lt;=$C$59,IF(C62&lt;=$C$59,($C$51*$C$54)/$C$59),0)</f>
        <v>2095278.848666667</v>
      </c>
      <c r="D63" s="183">
        <f>IF(D62&lt;=$C$59,IF(D62&lt;=$C$59,($C$51*$C$54)/$C$59)+C63,0)</f>
        <v>4190557.697333334</v>
      </c>
      <c r="E63" s="183">
        <f t="shared" ref="E63:AX63" si="4">IF(E62&lt;=$C$59,IF(E62&lt;=$C$59,($C$51*$C$54)/$C$59)+D63,0)</f>
        <v>6285836.546000001</v>
      </c>
      <c r="F63" s="183">
        <f t="shared" si="4"/>
        <v>8381115.394666668</v>
      </c>
      <c r="G63" s="183">
        <f t="shared" si="4"/>
        <v>10476394.243333336</v>
      </c>
      <c r="H63" s="183">
        <f t="shared" si="4"/>
        <v>12571673.092000004</v>
      </c>
      <c r="I63" s="183">
        <f t="shared" si="4"/>
        <v>14666951.940666672</v>
      </c>
      <c r="J63" s="183">
        <f t="shared" si="4"/>
        <v>16762230.78933334</v>
      </c>
      <c r="K63" s="183">
        <f t="shared" si="4"/>
        <v>18857509.638000008</v>
      </c>
      <c r="L63" s="183">
        <f t="shared" si="4"/>
        <v>20952788.486666676</v>
      </c>
      <c r="M63" s="183">
        <f t="shared" si="4"/>
        <v>23048067.335333344</v>
      </c>
      <c r="N63" s="183">
        <f t="shared" si="4"/>
        <v>25143346.184000012</v>
      </c>
      <c r="O63" s="183">
        <f t="shared" si="4"/>
        <v>27238625.032666679</v>
      </c>
      <c r="P63" s="183">
        <f t="shared" si="4"/>
        <v>29333903.881333347</v>
      </c>
      <c r="Q63" s="183">
        <f t="shared" si="4"/>
        <v>31429182.730000015</v>
      </c>
      <c r="R63" s="183">
        <f t="shared" si="4"/>
        <v>33524461.578666683</v>
      </c>
      <c r="S63" s="183">
        <f t="shared" si="4"/>
        <v>35619740.427333347</v>
      </c>
      <c r="T63" s="183">
        <f t="shared" si="4"/>
        <v>37715019.276000015</v>
      </c>
      <c r="U63" s="183">
        <f t="shared" si="4"/>
        <v>39810298.124666683</v>
      </c>
      <c r="V63" s="183">
        <f t="shared" si="4"/>
        <v>41905576.973333351</v>
      </c>
      <c r="W63" s="183">
        <f t="shared" si="4"/>
        <v>44000855.822000019</v>
      </c>
      <c r="X63" s="183">
        <f t="shared" si="4"/>
        <v>46096134.670666687</v>
      </c>
      <c r="Y63" s="183">
        <f t="shared" si="4"/>
        <v>48191413.519333355</v>
      </c>
      <c r="Z63" s="183">
        <f t="shared" si="4"/>
        <v>50286692.368000023</v>
      </c>
      <c r="AA63" s="183">
        <f t="shared" si="4"/>
        <v>52381971.216666691</v>
      </c>
      <c r="AB63" s="183">
        <f t="shared" si="4"/>
        <v>54477250.065333359</v>
      </c>
      <c r="AC63" s="183">
        <f t="shared" si="4"/>
        <v>56572528.914000027</v>
      </c>
      <c r="AD63" s="183">
        <f t="shared" si="4"/>
        <v>58667807.762666695</v>
      </c>
      <c r="AE63" s="183">
        <f t="shared" si="4"/>
        <v>60763086.611333363</v>
      </c>
      <c r="AF63" s="183">
        <f t="shared" si="4"/>
        <v>62858365.460000031</v>
      </c>
      <c r="AG63" s="183">
        <f t="shared" si="4"/>
        <v>0</v>
      </c>
      <c r="AH63" s="183">
        <f t="shared" si="4"/>
        <v>0</v>
      </c>
      <c r="AI63" s="183">
        <f t="shared" si="4"/>
        <v>0</v>
      </c>
      <c r="AJ63" s="183">
        <f t="shared" si="4"/>
        <v>0</v>
      </c>
      <c r="AK63" s="183">
        <f t="shared" si="4"/>
        <v>0</v>
      </c>
      <c r="AL63" s="183">
        <f t="shared" si="4"/>
        <v>0</v>
      </c>
      <c r="AM63" s="183">
        <f t="shared" si="4"/>
        <v>0</v>
      </c>
      <c r="AN63" s="183">
        <f t="shared" si="4"/>
        <v>0</v>
      </c>
      <c r="AO63" s="183">
        <f t="shared" si="4"/>
        <v>0</v>
      </c>
      <c r="AP63" s="183">
        <f t="shared" si="4"/>
        <v>0</v>
      </c>
      <c r="AQ63" s="183">
        <f t="shared" si="4"/>
        <v>0</v>
      </c>
      <c r="AR63" s="183">
        <f t="shared" si="4"/>
        <v>0</v>
      </c>
      <c r="AS63" s="183">
        <f t="shared" si="4"/>
        <v>0</v>
      </c>
      <c r="AT63" s="183">
        <f t="shared" si="4"/>
        <v>0</v>
      </c>
      <c r="AU63" s="183">
        <f t="shared" si="4"/>
        <v>0</v>
      </c>
      <c r="AV63" s="183">
        <f t="shared" si="4"/>
        <v>0</v>
      </c>
      <c r="AW63" s="183">
        <f t="shared" si="4"/>
        <v>0</v>
      </c>
      <c r="AX63" s="183">
        <f t="shared" si="4"/>
        <v>0</v>
      </c>
    </row>
    <row r="64" spans="2:50" x14ac:dyDescent="0.25">
      <c r="B64" s="78" t="s">
        <v>465</v>
      </c>
      <c r="C64" s="131">
        <f>IF(C62&lt;=$C$59,IFERROR(C63*($C$60/12),""),0)</f>
        <v>13095.492804166668</v>
      </c>
      <c r="D64" s="131">
        <f t="shared" ref="D64:AX64" si="5">IF(D62&lt;=$C$59,IFERROR(D63*($C$60/12),""),0)</f>
        <v>26190.985608333336</v>
      </c>
      <c r="E64" s="131">
        <f t="shared" si="5"/>
        <v>39286.478412500001</v>
      </c>
      <c r="F64" s="131">
        <f t="shared" si="5"/>
        <v>52381.971216666672</v>
      </c>
      <c r="G64" s="131">
        <f t="shared" si="5"/>
        <v>65477.464020833344</v>
      </c>
      <c r="H64" s="131">
        <f t="shared" si="5"/>
        <v>78572.956825000016</v>
      </c>
      <c r="I64" s="131">
        <f t="shared" si="5"/>
        <v>91668.449629166687</v>
      </c>
      <c r="J64" s="131">
        <f t="shared" si="5"/>
        <v>104763.94243333336</v>
      </c>
      <c r="K64" s="131">
        <f t="shared" si="5"/>
        <v>117859.43523750005</v>
      </c>
      <c r="L64" s="131">
        <f t="shared" si="5"/>
        <v>130954.92804166672</v>
      </c>
      <c r="M64" s="131">
        <f t="shared" si="5"/>
        <v>144050.42084583337</v>
      </c>
      <c r="N64" s="131">
        <f t="shared" si="5"/>
        <v>157145.91365000006</v>
      </c>
      <c r="O64" s="131">
        <f t="shared" si="5"/>
        <v>170241.40645416675</v>
      </c>
      <c r="P64" s="131">
        <f t="shared" si="5"/>
        <v>183336.8992583334</v>
      </c>
      <c r="Q64" s="131">
        <f t="shared" si="5"/>
        <v>196432.39206250009</v>
      </c>
      <c r="R64" s="131">
        <f t="shared" si="5"/>
        <v>209527.88486666675</v>
      </c>
      <c r="S64" s="131">
        <f t="shared" si="5"/>
        <v>222623.3776708334</v>
      </c>
      <c r="T64" s="131">
        <f t="shared" si="5"/>
        <v>235718.87047500009</v>
      </c>
      <c r="U64" s="131">
        <f t="shared" si="5"/>
        <v>248814.36327916675</v>
      </c>
      <c r="V64" s="131">
        <f t="shared" si="5"/>
        <v>261909.85608333343</v>
      </c>
      <c r="W64" s="131">
        <f t="shared" si="5"/>
        <v>275005.34888750012</v>
      </c>
      <c r="X64" s="131">
        <f t="shared" si="5"/>
        <v>288100.84169166675</v>
      </c>
      <c r="Y64" s="131">
        <f t="shared" si="5"/>
        <v>301196.33449583343</v>
      </c>
      <c r="Z64" s="131">
        <f t="shared" si="5"/>
        <v>314291.82730000012</v>
      </c>
      <c r="AA64" s="131">
        <f t="shared" si="5"/>
        <v>327387.32010416681</v>
      </c>
      <c r="AB64" s="131">
        <f t="shared" si="5"/>
        <v>340482.81290833349</v>
      </c>
      <c r="AC64" s="131">
        <f t="shared" si="5"/>
        <v>353578.30571250012</v>
      </c>
      <c r="AD64" s="131">
        <f t="shared" si="5"/>
        <v>366673.79851666681</v>
      </c>
      <c r="AE64" s="131">
        <f t="shared" si="5"/>
        <v>379769.29132083349</v>
      </c>
      <c r="AF64" s="131">
        <f t="shared" si="5"/>
        <v>392864.78412500018</v>
      </c>
      <c r="AG64" s="131">
        <f t="shared" si="5"/>
        <v>0</v>
      </c>
      <c r="AH64" s="131">
        <f t="shared" si="5"/>
        <v>0</v>
      </c>
      <c r="AI64" s="131">
        <f t="shared" si="5"/>
        <v>0</v>
      </c>
      <c r="AJ64" s="131">
        <f t="shared" si="5"/>
        <v>0</v>
      </c>
      <c r="AK64" s="131">
        <f t="shared" si="5"/>
        <v>0</v>
      </c>
      <c r="AL64" s="131">
        <f t="shared" si="5"/>
        <v>0</v>
      </c>
      <c r="AM64" s="131">
        <f t="shared" si="5"/>
        <v>0</v>
      </c>
      <c r="AN64" s="131">
        <f t="shared" si="5"/>
        <v>0</v>
      </c>
      <c r="AO64" s="131">
        <f t="shared" si="5"/>
        <v>0</v>
      </c>
      <c r="AP64" s="131">
        <f t="shared" si="5"/>
        <v>0</v>
      </c>
      <c r="AQ64" s="131">
        <f t="shared" si="5"/>
        <v>0</v>
      </c>
      <c r="AR64" s="131">
        <f t="shared" si="5"/>
        <v>0</v>
      </c>
      <c r="AS64" s="131">
        <f t="shared" si="5"/>
        <v>0</v>
      </c>
      <c r="AT64" s="131">
        <f t="shared" si="5"/>
        <v>0</v>
      </c>
      <c r="AU64" s="131">
        <f t="shared" si="5"/>
        <v>0</v>
      </c>
      <c r="AV64" s="131">
        <f t="shared" si="5"/>
        <v>0</v>
      </c>
      <c r="AW64" s="131">
        <f t="shared" si="5"/>
        <v>0</v>
      </c>
      <c r="AX64" s="131">
        <f t="shared" si="5"/>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3ED9-1F25-4DB0-B753-2170841EDC8E}">
  <sheetPr codeName="Sheet18">
    <tabColor theme="0" tint="-0.499984740745262"/>
    <pageSetUpPr fitToPage="1"/>
  </sheetPr>
  <dimension ref="A1:AG84"/>
  <sheetViews>
    <sheetView workbookViewId="0">
      <selection activeCell="AD8" sqref="AD8"/>
    </sheetView>
  </sheetViews>
  <sheetFormatPr defaultColWidth="9.19921875" defaultRowHeight="13.8" x14ac:dyDescent="0.25"/>
  <cols>
    <col min="1" max="1" width="11.5" style="3" customWidth="1"/>
    <col min="2" max="2" width="10.59765625" style="3" customWidth="1"/>
    <col min="3" max="8" width="11.5" style="3" customWidth="1"/>
    <col min="9" max="9" width="9.8984375" style="3" customWidth="1"/>
    <col min="10" max="10" width="10.19921875" style="3" customWidth="1"/>
    <col min="11" max="11" width="9.19921875" style="3"/>
    <col min="12" max="12" width="10.19921875" style="3" customWidth="1"/>
    <col min="13" max="14" width="9.19921875" style="3"/>
    <col min="15" max="15" width="11.59765625" style="3" customWidth="1"/>
    <col min="16" max="16" width="9.19921875" style="3"/>
    <col min="17" max="17" width="15.59765625" style="3" customWidth="1"/>
    <col min="18" max="16384" width="9.19921875" style="3"/>
  </cols>
  <sheetData>
    <row r="1" spans="1:30" x14ac:dyDescent="0.25">
      <c r="A1" s="3" t="s">
        <v>429</v>
      </c>
      <c r="B1" s="3">
        <v>2024</v>
      </c>
      <c r="C1" s="3" t="s">
        <v>467</v>
      </c>
      <c r="F1" s="563" t="s">
        <v>468</v>
      </c>
      <c r="H1" s="3">
        <v>45383</v>
      </c>
    </row>
    <row r="2" spans="1:30" x14ac:dyDescent="0.25">
      <c r="A2" s="3" t="s">
        <v>469</v>
      </c>
      <c r="C2" s="4">
        <v>147400</v>
      </c>
      <c r="F2" s="564" t="s">
        <v>470</v>
      </c>
    </row>
    <row r="3" spans="1:30" x14ac:dyDescent="0.25">
      <c r="A3" s="3" t="s">
        <v>471</v>
      </c>
      <c r="C3" s="4">
        <v>0.3</v>
      </c>
      <c r="D3" s="3" t="s">
        <v>472</v>
      </c>
      <c r="F3" s="564"/>
    </row>
    <row r="5" spans="1:30" x14ac:dyDescent="0.25">
      <c r="A5" s="622" t="s">
        <v>473</v>
      </c>
      <c r="B5" s="622"/>
      <c r="C5" s="622"/>
      <c r="D5" s="622"/>
      <c r="E5" s="622"/>
      <c r="F5" s="622"/>
      <c r="G5" s="5"/>
    </row>
    <row r="6" spans="1:30" x14ac:dyDescent="0.25">
      <c r="A6" s="6" t="s">
        <v>474</v>
      </c>
      <c r="B6" s="6"/>
      <c r="C6" s="6"/>
      <c r="D6" s="6"/>
      <c r="E6" s="6"/>
      <c r="F6" s="6"/>
      <c r="G6" s="6"/>
      <c r="H6" s="6"/>
    </row>
    <row r="7" spans="1:30" ht="27.6" x14ac:dyDescent="0.25">
      <c r="A7" s="7" t="s">
        <v>475</v>
      </c>
      <c r="B7" s="8" t="s">
        <v>476</v>
      </c>
      <c r="C7" s="8" t="s">
        <v>477</v>
      </c>
      <c r="D7" s="8" t="s">
        <v>478</v>
      </c>
      <c r="E7" s="8" t="s">
        <v>479</v>
      </c>
      <c r="F7" s="8" t="s">
        <v>480</v>
      </c>
      <c r="G7" s="8" t="s">
        <v>481</v>
      </c>
      <c r="H7" s="8" t="s">
        <v>482</v>
      </c>
      <c r="I7" s="8" t="s">
        <v>483</v>
      </c>
      <c r="M7" s="9">
        <v>0.3</v>
      </c>
      <c r="N7" s="10">
        <v>0.35</v>
      </c>
      <c r="O7" s="9">
        <v>0.4</v>
      </c>
      <c r="P7" s="10">
        <v>0.45</v>
      </c>
      <c r="Q7" s="9">
        <v>0.5</v>
      </c>
      <c r="R7" s="10">
        <v>0.55000000000000004</v>
      </c>
      <c r="S7" s="9">
        <v>0.6</v>
      </c>
      <c r="T7" s="10">
        <v>0.65</v>
      </c>
      <c r="U7" s="9">
        <v>0.7</v>
      </c>
      <c r="V7" s="10">
        <v>0.75</v>
      </c>
      <c r="W7" s="9">
        <v>0.8</v>
      </c>
      <c r="X7" s="10">
        <v>0.85</v>
      </c>
      <c r="Y7" s="9">
        <v>0.9</v>
      </c>
      <c r="Z7" s="10">
        <v>0.95</v>
      </c>
      <c r="AA7" s="9">
        <v>1</v>
      </c>
      <c r="AB7" s="10">
        <v>1.05</v>
      </c>
      <c r="AC7" s="9">
        <v>1.1000000000000001</v>
      </c>
      <c r="AD7" s="10">
        <v>1.2</v>
      </c>
    </row>
    <row r="8" spans="1:30" ht="14.4" thickBot="1" x14ac:dyDescent="0.3">
      <c r="A8" s="11">
        <v>0.3</v>
      </c>
      <c r="B8" s="12">
        <f t="shared" ref="B8:B25" si="0">$C$2*A8*$B$28</f>
        <v>30953.999999999996</v>
      </c>
      <c r="C8" s="12">
        <f t="shared" ref="C8:C25" si="1">$C$2*A8*$C$28</f>
        <v>35376</v>
      </c>
      <c r="D8" s="12">
        <f t="shared" ref="D8:D25" si="2">$C$2*A8*$D$28</f>
        <v>39798</v>
      </c>
      <c r="E8" s="12">
        <f t="shared" ref="E8:E25" si="3">$C$2*A8</f>
        <v>44220</v>
      </c>
      <c r="F8" s="12">
        <f t="shared" ref="F8:F25" si="4">$C$2*A8*$F$28</f>
        <v>47757.600000000006</v>
      </c>
      <c r="G8" s="12">
        <f t="shared" ref="G8:G25" si="5">$C$2*A8*$G$28</f>
        <v>51295.199999999997</v>
      </c>
      <c r="H8" s="12">
        <f t="shared" ref="H8:H25" si="6">$C$2*A8*$H$28</f>
        <v>54832.800000000003</v>
      </c>
      <c r="I8" s="12">
        <f>$C$2*A8*$I$28</f>
        <v>58370.400000000001</v>
      </c>
      <c r="J8" s="13"/>
      <c r="L8" s="14" t="s">
        <v>476</v>
      </c>
      <c r="M8" s="3">
        <f>INDEX(ARCH2022PreIncomes46[[1 person]:[8 person]],MATCH(M$7,ARCH2022PreIncomes46[Percentage of AMI],0),MATCH($L8,ARCH2022PreIncomes46[[#Headers],[1 person]:[8 person]],0))</f>
        <v>30953.999999999996</v>
      </c>
      <c r="N8" s="185">
        <f>INDEX(ARCH2022PreIncomes46[[1 person]:[8 person]],MATCH(N$7,ARCH2022PreIncomes46[Percentage of AMI],0),MATCH($L8,ARCH2022PreIncomes46[[#Headers],[1 person]:[8 person]],0))</f>
        <v>36113</v>
      </c>
      <c r="O8" s="3">
        <f>INDEX(ARCH2022PreIncomes46[[1 person]:[8 person]],MATCH(O$7,ARCH2022PreIncomes46[Percentage of AMI],0),MATCH($L8,ARCH2022PreIncomes46[[#Headers],[1 person]:[8 person]],0))</f>
        <v>41272</v>
      </c>
      <c r="P8" s="185">
        <f>INDEX(ARCH2022PreIncomes46[[1 person]:[8 person]],MATCH(P$7,ARCH2022PreIncomes46[Percentage of AMI],0),MATCH($L8,ARCH2022PreIncomes46[[#Headers],[1 person]:[8 person]],0))</f>
        <v>46431</v>
      </c>
      <c r="Q8" s="3">
        <f>INDEX(ARCH2022PreIncomes46[[1 person]:[8 person]],MATCH(Q$7,ARCH2022PreIncomes46[Percentage of AMI],0),MATCH($L8,ARCH2022PreIncomes46[[#Headers],[1 person]:[8 person]],0))</f>
        <v>51590</v>
      </c>
      <c r="R8" s="185">
        <f>INDEX(ARCH2022PreIncomes46[[1 person]:[8 person]],MATCH(R$7,ARCH2022PreIncomes46[Percentage of AMI],0),MATCH($L8,ARCH2022PreIncomes46[[#Headers],[1 person]:[8 person]],0))</f>
        <v>56749</v>
      </c>
      <c r="S8" s="3">
        <f>INDEX(ARCH2022PreIncomes46[[1 person]:[8 person]],MATCH(S$7,ARCH2022PreIncomes46[Percentage of AMI],0),MATCH($L8,ARCH2022PreIncomes46[[#Headers],[1 person]:[8 person]],0))</f>
        <v>61907.999999999993</v>
      </c>
      <c r="T8" s="185">
        <f>INDEX(ARCH2022PreIncomes46[[1 person]:[8 person]],MATCH(T$7,ARCH2022PreIncomes46[Percentage of AMI],0),MATCH($L8,ARCH2022PreIncomes46[[#Headers],[1 person]:[8 person]],0))</f>
        <v>67067</v>
      </c>
      <c r="U8" s="3">
        <f>INDEX(ARCH2022PreIncomes46[[1 person]:[8 person]],MATCH(U$7,ARCH2022PreIncomes46[Percentage of AMI],0),MATCH($L8,ARCH2022PreIncomes46[[#Headers],[1 person]:[8 person]],0))</f>
        <v>72226</v>
      </c>
      <c r="V8" s="185">
        <f>INDEX(ARCH2022PreIncomes46[[1 person]:[8 person]],MATCH(V$7,ARCH2022PreIncomes46[Percentage of AMI],0),MATCH($L8,ARCH2022PreIncomes46[[#Headers],[1 person]:[8 person]],0))</f>
        <v>77385</v>
      </c>
      <c r="W8" s="3">
        <f>INDEX(ARCH2022PreIncomes46[[1 person]:[8 person]],MATCH(W$7,ARCH2022PreIncomes46[Percentage of AMI],0),MATCH($L8,ARCH2022PreIncomes46[[#Headers],[1 person]:[8 person]],0))</f>
        <v>82544</v>
      </c>
      <c r="X8" s="185">
        <f>INDEX(ARCH2022PreIncomes46[[1 person]:[8 person]],MATCH(X$7,ARCH2022PreIncomes46[Percentage of AMI],0),MATCH($L8,ARCH2022PreIncomes46[[#Headers],[1 person]:[8 person]],0))</f>
        <v>87703</v>
      </c>
      <c r="Y8" s="3">
        <f>INDEX(ARCH2022PreIncomes46[[1 person]:[8 person]],MATCH(Y$7,ARCH2022PreIncomes46[Percentage of AMI],0),MATCH($L8,ARCH2022PreIncomes46[[#Headers],[1 person]:[8 person]],0))</f>
        <v>92862</v>
      </c>
      <c r="Z8" s="185">
        <f>INDEX(ARCH2022PreIncomes46[[1 person]:[8 person]],MATCH(Z$7,ARCH2022PreIncomes46[Percentage of AMI],0),MATCH($L8,ARCH2022PreIncomes46[[#Headers],[1 person]:[8 person]],0))</f>
        <v>98021</v>
      </c>
      <c r="AA8" s="3">
        <f>INDEX(ARCH2022PreIncomes46[[1 person]:[8 person]],MATCH(AA$7,ARCH2022PreIncomes46[Percentage of AMI],0),MATCH($L8,ARCH2022PreIncomes46[[#Headers],[1 person]:[8 person]],0))</f>
        <v>103180</v>
      </c>
      <c r="AB8" s="185">
        <f>INDEX(ARCH2022PreIncomes46[[1 person]:[8 person]],MATCH(AB$7,ARCH2022PreIncomes46[Percentage of AMI],0),MATCH($L8,ARCH2022PreIncomes46[[#Headers],[1 person]:[8 person]],0))</f>
        <v>108339</v>
      </c>
      <c r="AC8" s="3">
        <f>INDEX(ARCH2022PreIncomes46[[1 person]:[8 person]],MATCH(AC$7,ARCH2022PreIncomes46[Percentage of AMI],0),MATCH($L8,ARCH2022PreIncomes46[[#Headers],[1 person]:[8 person]],0))</f>
        <v>113498</v>
      </c>
      <c r="AD8" s="3">
        <f>INDEX(ARCH2022PreIncomes46[[1 person]:[8 person]],MATCH(AD$7,ARCH2022PreIncomes46[Percentage of AMI],0),MATCH($L8,ARCH2022PreIncomes46[[#Headers],[1 person]:[8 person]],0))</f>
        <v>123815.99999999999</v>
      </c>
    </row>
    <row r="9" spans="1:30" ht="14.4" thickBot="1" x14ac:dyDescent="0.3">
      <c r="A9" s="11">
        <v>0.35</v>
      </c>
      <c r="B9" s="12">
        <f t="shared" si="0"/>
        <v>36113</v>
      </c>
      <c r="C9" s="12">
        <f t="shared" si="1"/>
        <v>41272</v>
      </c>
      <c r="D9" s="12">
        <f t="shared" si="2"/>
        <v>46431</v>
      </c>
      <c r="E9" s="12">
        <f t="shared" si="3"/>
        <v>51590</v>
      </c>
      <c r="F9" s="12">
        <f t="shared" si="4"/>
        <v>55717.200000000004</v>
      </c>
      <c r="G9" s="12">
        <f t="shared" si="5"/>
        <v>59844.399999999994</v>
      </c>
      <c r="H9" s="12">
        <f t="shared" si="6"/>
        <v>63971.6</v>
      </c>
      <c r="I9" s="12">
        <f>$C$2*A9*$I$28</f>
        <v>68098.8</v>
      </c>
      <c r="L9" s="14" t="s">
        <v>477</v>
      </c>
      <c r="M9" s="3">
        <f>INDEX(ARCH2022PreIncomes46[[1 person]:[8 person]],MATCH(M$7,ARCH2022PreIncomes46[Percentage of AMI],0),MATCH($L9,ARCH2022PreIncomes46[[#Headers],[1 person]:[8 person]],0))</f>
        <v>35376</v>
      </c>
      <c r="N9" s="185">
        <f>INDEX(ARCH2022PreIncomes46[[1 person]:[8 person]],MATCH(N$7,ARCH2022PreIncomes46[Percentage of AMI],0),MATCH($L9,ARCH2022PreIncomes46[[#Headers],[1 person]:[8 person]],0))</f>
        <v>41272</v>
      </c>
      <c r="O9" s="3">
        <f>INDEX(ARCH2022PreIncomes46[[1 person]:[8 person]],MATCH(O$7,ARCH2022PreIncomes46[Percentage of AMI],0),MATCH($L9,ARCH2022PreIncomes46[[#Headers],[1 person]:[8 person]],0))</f>
        <v>47168</v>
      </c>
      <c r="P9" s="185">
        <f>INDEX(ARCH2022PreIncomes46[[1 person]:[8 person]],MATCH(P$7,ARCH2022PreIncomes46[Percentage of AMI],0),MATCH($L9,ARCH2022PreIncomes46[[#Headers],[1 person]:[8 person]],0))</f>
        <v>53064</v>
      </c>
      <c r="Q9" s="3">
        <f>INDEX(ARCH2022PreIncomes46[[1 person]:[8 person]],MATCH(Q$7,ARCH2022PreIncomes46[Percentage of AMI],0),MATCH($L9,ARCH2022PreIncomes46[[#Headers],[1 person]:[8 person]],0))</f>
        <v>58960</v>
      </c>
      <c r="R9" s="185">
        <f>INDEX(ARCH2022PreIncomes46[[1 person]:[8 person]],MATCH(R$7,ARCH2022PreIncomes46[Percentage of AMI],0),MATCH($L9,ARCH2022PreIncomes46[[#Headers],[1 person]:[8 person]],0))</f>
        <v>64856</v>
      </c>
      <c r="S9" s="3">
        <f>INDEX(ARCH2022PreIncomes46[[1 person]:[8 person]],MATCH(S$7,ARCH2022PreIncomes46[Percentage of AMI],0),MATCH($L9,ARCH2022PreIncomes46[[#Headers],[1 person]:[8 person]],0))</f>
        <v>70752</v>
      </c>
      <c r="T9" s="185">
        <f>INDEX(ARCH2022PreIncomes46[[1 person]:[8 person]],MATCH(T$7,ARCH2022PreIncomes46[Percentage of AMI],0),MATCH($L9,ARCH2022PreIncomes46[[#Headers],[1 person]:[8 person]],0))</f>
        <v>76648</v>
      </c>
      <c r="U9" s="3">
        <f>INDEX(ARCH2022PreIncomes46[[1 person]:[8 person]],MATCH(U$7,ARCH2022PreIncomes46[Percentage of AMI],0),MATCH($L9,ARCH2022PreIncomes46[[#Headers],[1 person]:[8 person]],0))</f>
        <v>82544</v>
      </c>
      <c r="V9" s="185">
        <f>INDEX(ARCH2022PreIncomes46[[1 person]:[8 person]],MATCH(V$7,ARCH2022PreIncomes46[Percentage of AMI],0),MATCH($L9,ARCH2022PreIncomes46[[#Headers],[1 person]:[8 person]],0))</f>
        <v>88440</v>
      </c>
      <c r="W9" s="3">
        <f>INDEX(ARCH2022PreIncomes46[[1 person]:[8 person]],MATCH(W$7,ARCH2022PreIncomes46[Percentage of AMI],0),MATCH($L9,ARCH2022PreIncomes46[[#Headers],[1 person]:[8 person]],0))</f>
        <v>94336</v>
      </c>
      <c r="X9" s="185">
        <f>INDEX(ARCH2022PreIncomes46[[1 person]:[8 person]],MATCH(X$7,ARCH2022PreIncomes46[Percentage of AMI],0),MATCH($L9,ARCH2022PreIncomes46[[#Headers],[1 person]:[8 person]],0))</f>
        <v>100232</v>
      </c>
      <c r="Y9" s="3">
        <f>INDEX(ARCH2022PreIncomes46[[1 person]:[8 person]],MATCH(Y$7,ARCH2022PreIncomes46[Percentage of AMI],0),MATCH($L9,ARCH2022PreIncomes46[[#Headers],[1 person]:[8 person]],0))</f>
        <v>106128</v>
      </c>
      <c r="Z9" s="185">
        <f>INDEX(ARCH2022PreIncomes46[[1 person]:[8 person]],MATCH(Z$7,ARCH2022PreIncomes46[Percentage of AMI],0),MATCH($L9,ARCH2022PreIncomes46[[#Headers],[1 person]:[8 person]],0))</f>
        <v>112024</v>
      </c>
      <c r="AA9" s="3">
        <f>INDEX(ARCH2022PreIncomes46[[1 person]:[8 person]],MATCH(AA$7,ARCH2022PreIncomes46[Percentage of AMI],0),MATCH($L9,ARCH2022PreIncomes46[[#Headers],[1 person]:[8 person]],0))</f>
        <v>117920</v>
      </c>
      <c r="AB9" s="185">
        <f>INDEX(ARCH2022PreIncomes46[[1 person]:[8 person]],MATCH(AB$7,ARCH2022PreIncomes46[Percentage of AMI],0),MATCH($L9,ARCH2022PreIncomes46[[#Headers],[1 person]:[8 person]],0))</f>
        <v>123816</v>
      </c>
      <c r="AC9" s="3">
        <f>INDEX(ARCH2022PreIncomes46[[1 person]:[8 person]],MATCH(AC$7,ARCH2022PreIncomes46[Percentage of AMI],0),MATCH($L9,ARCH2022PreIncomes46[[#Headers],[1 person]:[8 person]],0))</f>
        <v>129712</v>
      </c>
      <c r="AD9" s="3">
        <f>INDEX(ARCH2022PreIncomes46[[1 person]:[8 person]],MATCH(AD$7,ARCH2022PreIncomes46[Percentage of AMI],0),MATCH($L9,ARCH2022PreIncomes46[[#Headers],[1 person]:[8 person]],0))</f>
        <v>141504</v>
      </c>
    </row>
    <row r="10" spans="1:30" ht="14.4" thickBot="1" x14ac:dyDescent="0.3">
      <c r="A10" s="11">
        <v>0.4</v>
      </c>
      <c r="B10" s="12">
        <f t="shared" si="0"/>
        <v>41272</v>
      </c>
      <c r="C10" s="12">
        <f t="shared" si="1"/>
        <v>47168</v>
      </c>
      <c r="D10" s="12">
        <f t="shared" si="2"/>
        <v>53064</v>
      </c>
      <c r="E10" s="12">
        <f t="shared" si="3"/>
        <v>58960</v>
      </c>
      <c r="F10" s="12">
        <f t="shared" si="4"/>
        <v>63676.800000000003</v>
      </c>
      <c r="G10" s="12">
        <f t="shared" si="5"/>
        <v>68393.599999999991</v>
      </c>
      <c r="H10" s="12">
        <f t="shared" si="6"/>
        <v>73110.399999999994</v>
      </c>
      <c r="I10" s="12">
        <f t="shared" ref="I10:I25" si="7">$C$2*A10*$I$28</f>
        <v>77827.199999999997</v>
      </c>
      <c r="L10" s="14" t="s">
        <v>478</v>
      </c>
      <c r="M10" s="3">
        <f>INDEX(ARCH2022PreIncomes46[[1 person]:[8 person]],MATCH(M$7,ARCH2022PreIncomes46[Percentage of AMI],0),MATCH($L10,ARCH2022PreIncomes46[[#Headers],[1 person]:[8 person]],0))</f>
        <v>39798</v>
      </c>
      <c r="N10" s="185">
        <f>INDEX(ARCH2022PreIncomes46[[1 person]:[8 person]],MATCH(N$7,ARCH2022PreIncomes46[Percentage of AMI],0),MATCH($L10,ARCH2022PreIncomes46[[#Headers],[1 person]:[8 person]],0))</f>
        <v>46431</v>
      </c>
      <c r="O10" s="3">
        <f>INDEX(ARCH2022PreIncomes46[[1 person]:[8 person]],MATCH(O$7,ARCH2022PreIncomes46[Percentage of AMI],0),MATCH($L10,ARCH2022PreIncomes46[[#Headers],[1 person]:[8 person]],0))</f>
        <v>53064</v>
      </c>
      <c r="P10" s="185">
        <f>INDEX(ARCH2022PreIncomes46[[1 person]:[8 person]],MATCH(P$7,ARCH2022PreIncomes46[Percentage of AMI],0),MATCH($L10,ARCH2022PreIncomes46[[#Headers],[1 person]:[8 person]],0))</f>
        <v>59697</v>
      </c>
      <c r="Q10" s="3">
        <f>INDEX(ARCH2022PreIncomes46[[1 person]:[8 person]],MATCH(Q$7,ARCH2022PreIncomes46[Percentage of AMI],0),MATCH($L10,ARCH2022PreIncomes46[[#Headers],[1 person]:[8 person]],0))</f>
        <v>66330</v>
      </c>
      <c r="R10" s="185">
        <f>INDEX(ARCH2022PreIncomes46[[1 person]:[8 person]],MATCH(R$7,ARCH2022PreIncomes46[Percentage of AMI],0),MATCH($L10,ARCH2022PreIncomes46[[#Headers],[1 person]:[8 person]],0))</f>
        <v>72963</v>
      </c>
      <c r="S10" s="3">
        <f>INDEX(ARCH2022PreIncomes46[[1 person]:[8 person]],MATCH(S$7,ARCH2022PreIncomes46[Percentage of AMI],0),MATCH($L10,ARCH2022PreIncomes46[[#Headers],[1 person]:[8 person]],0))</f>
        <v>79596</v>
      </c>
      <c r="T10" s="185">
        <f>INDEX(ARCH2022PreIncomes46[[1 person]:[8 person]],MATCH(T$7,ARCH2022PreIncomes46[Percentage of AMI],0),MATCH($L10,ARCH2022PreIncomes46[[#Headers],[1 person]:[8 person]],0))</f>
        <v>86229</v>
      </c>
      <c r="U10" s="3">
        <f>INDEX(ARCH2022PreIncomes46[[1 person]:[8 person]],MATCH(U$7,ARCH2022PreIncomes46[Percentage of AMI],0),MATCH($L10,ARCH2022PreIncomes46[[#Headers],[1 person]:[8 person]],0))</f>
        <v>92862</v>
      </c>
      <c r="V10" s="185">
        <f>INDEX(ARCH2022PreIncomes46[[1 person]:[8 person]],MATCH(V$7,ARCH2022PreIncomes46[Percentage of AMI],0),MATCH($L10,ARCH2022PreIncomes46[[#Headers],[1 person]:[8 person]],0))</f>
        <v>99495</v>
      </c>
      <c r="W10" s="3">
        <f>INDEX(ARCH2022PreIncomes46[[1 person]:[8 person]],MATCH(W$7,ARCH2022PreIncomes46[Percentage of AMI],0),MATCH($L10,ARCH2022PreIncomes46[[#Headers],[1 person]:[8 person]],0))</f>
        <v>106128</v>
      </c>
      <c r="X10" s="185">
        <f>INDEX(ARCH2022PreIncomes46[[1 person]:[8 person]],MATCH(X$7,ARCH2022PreIncomes46[Percentage of AMI],0),MATCH($L10,ARCH2022PreIncomes46[[#Headers],[1 person]:[8 person]],0))</f>
        <v>112761</v>
      </c>
      <c r="Y10" s="3">
        <f>INDEX(ARCH2022PreIncomes46[[1 person]:[8 person]],MATCH(Y$7,ARCH2022PreIncomes46[Percentage of AMI],0),MATCH($L10,ARCH2022PreIncomes46[[#Headers],[1 person]:[8 person]],0))</f>
        <v>119394</v>
      </c>
      <c r="Z10" s="185">
        <f>INDEX(ARCH2022PreIncomes46[[1 person]:[8 person]],MATCH(Z$7,ARCH2022PreIncomes46[Percentage of AMI],0),MATCH($L10,ARCH2022PreIncomes46[[#Headers],[1 person]:[8 person]],0))</f>
        <v>126027</v>
      </c>
      <c r="AA10" s="3">
        <f>INDEX(ARCH2022PreIncomes46[[1 person]:[8 person]],MATCH(AA$7,ARCH2022PreIncomes46[Percentage of AMI],0),MATCH($L10,ARCH2022PreIncomes46[[#Headers],[1 person]:[8 person]],0))</f>
        <v>132660</v>
      </c>
      <c r="AB10" s="185">
        <f>INDEX(ARCH2022PreIncomes46[[1 person]:[8 person]],MATCH(AB$7,ARCH2022PreIncomes46[Percentage of AMI],0),MATCH($L10,ARCH2022PreIncomes46[[#Headers],[1 person]:[8 person]],0))</f>
        <v>139293</v>
      </c>
      <c r="AC10" s="3">
        <f>INDEX(ARCH2022PreIncomes46[[1 person]:[8 person]],MATCH(AC$7,ARCH2022PreIncomes46[Percentage of AMI],0),MATCH($L10,ARCH2022PreIncomes46[[#Headers],[1 person]:[8 person]],0))</f>
        <v>145926</v>
      </c>
      <c r="AD10" s="3">
        <f>INDEX(ARCH2022PreIncomes46[[1 person]:[8 person]],MATCH(AD$7,ARCH2022PreIncomes46[Percentage of AMI],0),MATCH($L10,ARCH2022PreIncomes46[[#Headers],[1 person]:[8 person]],0))</f>
        <v>159192</v>
      </c>
    </row>
    <row r="11" spans="1:30" ht="14.4" thickBot="1" x14ac:dyDescent="0.3">
      <c r="A11" s="11">
        <v>0.45</v>
      </c>
      <c r="B11" s="12">
        <f t="shared" si="0"/>
        <v>46431</v>
      </c>
      <c r="C11" s="12">
        <f t="shared" si="1"/>
        <v>53064</v>
      </c>
      <c r="D11" s="12">
        <f t="shared" si="2"/>
        <v>59697</v>
      </c>
      <c r="E11" s="12">
        <f t="shared" si="3"/>
        <v>66330</v>
      </c>
      <c r="F11" s="12">
        <f t="shared" si="4"/>
        <v>71636.400000000009</v>
      </c>
      <c r="G11" s="12">
        <f t="shared" si="5"/>
        <v>76942.799999999988</v>
      </c>
      <c r="H11" s="12">
        <f t="shared" si="6"/>
        <v>82249.2</v>
      </c>
      <c r="I11" s="12">
        <f t="shared" si="7"/>
        <v>87555.6</v>
      </c>
      <c r="L11" s="14" t="s">
        <v>479</v>
      </c>
      <c r="M11" s="3">
        <f>INDEX(ARCH2022PreIncomes46[[1 person]:[8 person]],MATCH(M$7,ARCH2022PreIncomes46[Percentage of AMI],0),MATCH($L11,ARCH2022PreIncomes46[[#Headers],[1 person]:[8 person]],0))</f>
        <v>44220</v>
      </c>
      <c r="N11" s="185">
        <f>INDEX(ARCH2022PreIncomes46[[1 person]:[8 person]],MATCH(N$7,ARCH2022PreIncomes46[Percentage of AMI],0),MATCH($L11,ARCH2022PreIncomes46[[#Headers],[1 person]:[8 person]],0))</f>
        <v>51590</v>
      </c>
      <c r="O11" s="3">
        <f>INDEX(ARCH2022PreIncomes46[[1 person]:[8 person]],MATCH(O$7,ARCH2022PreIncomes46[Percentage of AMI],0),MATCH($L11,ARCH2022PreIncomes46[[#Headers],[1 person]:[8 person]],0))</f>
        <v>58960</v>
      </c>
      <c r="P11" s="185">
        <f>INDEX(ARCH2022PreIncomes46[[1 person]:[8 person]],MATCH(P$7,ARCH2022PreIncomes46[Percentage of AMI],0),MATCH($L11,ARCH2022PreIncomes46[[#Headers],[1 person]:[8 person]],0))</f>
        <v>66330</v>
      </c>
      <c r="Q11" s="3">
        <f>INDEX(ARCH2022PreIncomes46[[1 person]:[8 person]],MATCH(Q$7,ARCH2022PreIncomes46[Percentage of AMI],0),MATCH($L11,ARCH2022PreIncomes46[[#Headers],[1 person]:[8 person]],0))</f>
        <v>73700</v>
      </c>
      <c r="R11" s="185">
        <f>INDEX(ARCH2022PreIncomes46[[1 person]:[8 person]],MATCH(R$7,ARCH2022PreIncomes46[Percentage of AMI],0),MATCH($L11,ARCH2022PreIncomes46[[#Headers],[1 person]:[8 person]],0))</f>
        <v>81070</v>
      </c>
      <c r="S11" s="3">
        <f>INDEX(ARCH2022PreIncomes46[[1 person]:[8 person]],MATCH(S$7,ARCH2022PreIncomes46[Percentage of AMI],0),MATCH($L11,ARCH2022PreIncomes46[[#Headers],[1 person]:[8 person]],0))</f>
        <v>88440</v>
      </c>
      <c r="T11" s="185">
        <f>INDEX(ARCH2022PreIncomes46[[1 person]:[8 person]],MATCH(T$7,ARCH2022PreIncomes46[Percentage of AMI],0),MATCH($L11,ARCH2022PreIncomes46[[#Headers],[1 person]:[8 person]],0))</f>
        <v>95810</v>
      </c>
      <c r="U11" s="3">
        <f>INDEX(ARCH2022PreIncomes46[[1 person]:[8 person]],MATCH(U$7,ARCH2022PreIncomes46[Percentage of AMI],0),MATCH($L11,ARCH2022PreIncomes46[[#Headers],[1 person]:[8 person]],0))</f>
        <v>103180</v>
      </c>
      <c r="V11" s="185">
        <f>INDEX(ARCH2022PreIncomes46[[1 person]:[8 person]],MATCH(V$7,ARCH2022PreIncomes46[Percentage of AMI],0),MATCH($L11,ARCH2022PreIncomes46[[#Headers],[1 person]:[8 person]],0))</f>
        <v>110550</v>
      </c>
      <c r="W11" s="3">
        <f>INDEX(ARCH2022PreIncomes46[[1 person]:[8 person]],MATCH(W$7,ARCH2022PreIncomes46[Percentage of AMI],0),MATCH($L11,ARCH2022PreIncomes46[[#Headers],[1 person]:[8 person]],0))</f>
        <v>117920</v>
      </c>
      <c r="X11" s="185">
        <f>INDEX(ARCH2022PreIncomes46[[1 person]:[8 person]],MATCH(X$7,ARCH2022PreIncomes46[Percentage of AMI],0),MATCH($L11,ARCH2022PreIncomes46[[#Headers],[1 person]:[8 person]],0))</f>
        <v>125290</v>
      </c>
      <c r="Y11" s="3">
        <f>INDEX(ARCH2022PreIncomes46[[1 person]:[8 person]],MATCH(Y$7,ARCH2022PreIncomes46[Percentage of AMI],0),MATCH($L11,ARCH2022PreIncomes46[[#Headers],[1 person]:[8 person]],0))</f>
        <v>132660</v>
      </c>
      <c r="Z11" s="185">
        <f>INDEX(ARCH2022PreIncomes46[[1 person]:[8 person]],MATCH(Z$7,ARCH2022PreIncomes46[Percentage of AMI],0),MATCH($L11,ARCH2022PreIncomes46[[#Headers],[1 person]:[8 person]],0))</f>
        <v>140030</v>
      </c>
      <c r="AA11" s="3">
        <f>INDEX(ARCH2022PreIncomes46[[1 person]:[8 person]],MATCH(AA$7,ARCH2022PreIncomes46[Percentage of AMI],0),MATCH($L11,ARCH2022PreIncomes46[[#Headers],[1 person]:[8 person]],0))</f>
        <v>147400</v>
      </c>
      <c r="AB11" s="185">
        <f>INDEX(ARCH2022PreIncomes46[[1 person]:[8 person]],MATCH(AB$7,ARCH2022PreIncomes46[Percentage of AMI],0),MATCH($L11,ARCH2022PreIncomes46[[#Headers],[1 person]:[8 person]],0))</f>
        <v>154770</v>
      </c>
      <c r="AC11" s="3">
        <f>INDEX(ARCH2022PreIncomes46[[1 person]:[8 person]],MATCH(AC$7,ARCH2022PreIncomes46[Percentage of AMI],0),MATCH($L11,ARCH2022PreIncomes46[[#Headers],[1 person]:[8 person]],0))</f>
        <v>162140</v>
      </c>
      <c r="AD11" s="3">
        <f>INDEX(ARCH2022PreIncomes46[[1 person]:[8 person]],MATCH(AD$7,ARCH2022PreIncomes46[Percentage of AMI],0),MATCH($L11,ARCH2022PreIncomes46[[#Headers],[1 person]:[8 person]],0))</f>
        <v>176880</v>
      </c>
    </row>
    <row r="12" spans="1:30" ht="14.4" thickBot="1" x14ac:dyDescent="0.3">
      <c r="A12" s="11">
        <v>0.5</v>
      </c>
      <c r="B12" s="12">
        <f t="shared" si="0"/>
        <v>51590</v>
      </c>
      <c r="C12" s="12">
        <f t="shared" si="1"/>
        <v>58960</v>
      </c>
      <c r="D12" s="12">
        <f t="shared" si="2"/>
        <v>66330</v>
      </c>
      <c r="E12" s="12">
        <f t="shared" si="3"/>
        <v>73700</v>
      </c>
      <c r="F12" s="12">
        <f t="shared" si="4"/>
        <v>79596</v>
      </c>
      <c r="G12" s="12">
        <f t="shared" si="5"/>
        <v>85492</v>
      </c>
      <c r="H12" s="12">
        <f t="shared" si="6"/>
        <v>91388</v>
      </c>
      <c r="I12" s="12">
        <f t="shared" si="7"/>
        <v>97284</v>
      </c>
      <c r="L12" s="14" t="s">
        <v>480</v>
      </c>
      <c r="M12" s="3">
        <f>INDEX(ARCH2022PreIncomes46[[1 person]:[8 person]],MATCH(M$7,ARCH2022PreIncomes46[Percentage of AMI],0),MATCH($L12,ARCH2022PreIncomes46[[#Headers],[1 person]:[8 person]],0))</f>
        <v>47757.600000000006</v>
      </c>
      <c r="N12" s="185">
        <f>INDEX(ARCH2022PreIncomes46[[1 person]:[8 person]],MATCH(N$7,ARCH2022PreIncomes46[Percentage of AMI],0),MATCH($L12,ARCH2022PreIncomes46[[#Headers],[1 person]:[8 person]],0))</f>
        <v>55717.200000000004</v>
      </c>
      <c r="O12" s="3">
        <f>INDEX(ARCH2022PreIncomes46[[1 person]:[8 person]],MATCH(O$7,ARCH2022PreIncomes46[Percentage of AMI],0),MATCH($L12,ARCH2022PreIncomes46[[#Headers],[1 person]:[8 person]],0))</f>
        <v>63676.800000000003</v>
      </c>
      <c r="P12" s="185">
        <f>INDEX(ARCH2022PreIncomes46[[1 person]:[8 person]],MATCH(P$7,ARCH2022PreIncomes46[Percentage of AMI],0),MATCH($L12,ARCH2022PreIncomes46[[#Headers],[1 person]:[8 person]],0))</f>
        <v>71636.400000000009</v>
      </c>
      <c r="Q12" s="3">
        <f>INDEX(ARCH2022PreIncomes46[[1 person]:[8 person]],MATCH(Q$7,ARCH2022PreIncomes46[Percentage of AMI],0),MATCH($L12,ARCH2022PreIncomes46[[#Headers],[1 person]:[8 person]],0))</f>
        <v>79596</v>
      </c>
      <c r="R12" s="185">
        <f>INDEX(ARCH2022PreIncomes46[[1 person]:[8 person]],MATCH(R$7,ARCH2022PreIncomes46[Percentage of AMI],0),MATCH($L12,ARCH2022PreIncomes46[[#Headers],[1 person]:[8 person]],0))</f>
        <v>87555.6</v>
      </c>
      <c r="S12" s="3">
        <f>INDEX(ARCH2022PreIncomes46[[1 person]:[8 person]],MATCH(S$7,ARCH2022PreIncomes46[Percentage of AMI],0),MATCH($L12,ARCH2022PreIncomes46[[#Headers],[1 person]:[8 person]],0))</f>
        <v>95515.200000000012</v>
      </c>
      <c r="T12" s="185">
        <f>INDEX(ARCH2022PreIncomes46[[1 person]:[8 person]],MATCH(T$7,ARCH2022PreIncomes46[Percentage of AMI],0),MATCH($L12,ARCH2022PreIncomes46[[#Headers],[1 person]:[8 person]],0))</f>
        <v>103474.8</v>
      </c>
      <c r="U12" s="3">
        <f>INDEX(ARCH2022PreIncomes46[[1 person]:[8 person]],MATCH(U$7,ARCH2022PreIncomes46[Percentage of AMI],0),MATCH($L12,ARCH2022PreIncomes46[[#Headers],[1 person]:[8 person]],0))</f>
        <v>111434.40000000001</v>
      </c>
      <c r="V12" s="185">
        <f>INDEX(ARCH2022PreIncomes46[[1 person]:[8 person]],MATCH(V$7,ARCH2022PreIncomes46[Percentage of AMI],0),MATCH($L12,ARCH2022PreIncomes46[[#Headers],[1 person]:[8 person]],0))</f>
        <v>119394.00000000001</v>
      </c>
      <c r="W12" s="3">
        <f>INDEX(ARCH2022PreIncomes46[[1 person]:[8 person]],MATCH(W$7,ARCH2022PreIncomes46[Percentage of AMI],0),MATCH($L12,ARCH2022PreIncomes46[[#Headers],[1 person]:[8 person]],0))</f>
        <v>127353.60000000001</v>
      </c>
      <c r="X12" s="185">
        <f>INDEX(ARCH2022PreIncomes46[[1 person]:[8 person]],MATCH(X$7,ARCH2022PreIncomes46[Percentage of AMI],0),MATCH($L12,ARCH2022PreIncomes46[[#Headers],[1 person]:[8 person]],0))</f>
        <v>135313.20000000001</v>
      </c>
      <c r="Y12" s="3">
        <f>INDEX(ARCH2022PreIncomes46[[1 person]:[8 person]],MATCH(Y$7,ARCH2022PreIncomes46[Percentage of AMI],0),MATCH($L12,ARCH2022PreIncomes46[[#Headers],[1 person]:[8 person]],0))</f>
        <v>143272.80000000002</v>
      </c>
      <c r="Z12" s="185">
        <f>INDEX(ARCH2022PreIncomes46[[1 person]:[8 person]],MATCH(Z$7,ARCH2022PreIncomes46[Percentage of AMI],0),MATCH($L12,ARCH2022PreIncomes46[[#Headers],[1 person]:[8 person]],0))</f>
        <v>151232.40000000002</v>
      </c>
      <c r="AA12" s="3">
        <f>INDEX(ARCH2022PreIncomes46[[1 person]:[8 person]],MATCH(AA$7,ARCH2022PreIncomes46[Percentage of AMI],0),MATCH($L12,ARCH2022PreIncomes46[[#Headers],[1 person]:[8 person]],0))</f>
        <v>159192</v>
      </c>
      <c r="AB12" s="185">
        <f>INDEX(ARCH2022PreIncomes46[[1 person]:[8 person]],MATCH(AB$7,ARCH2022PreIncomes46[Percentage of AMI],0),MATCH($L12,ARCH2022PreIncomes46[[#Headers],[1 person]:[8 person]],0))</f>
        <v>167151.6</v>
      </c>
      <c r="AC12" s="3">
        <f>INDEX(ARCH2022PreIncomes46[[1 person]:[8 person]],MATCH(AC$7,ARCH2022PreIncomes46[Percentage of AMI],0),MATCH($L12,ARCH2022PreIncomes46[[#Headers],[1 person]:[8 person]],0))</f>
        <v>175111.2</v>
      </c>
      <c r="AD12" s="3">
        <f>INDEX(ARCH2022PreIncomes46[[1 person]:[8 person]],MATCH(AD$7,ARCH2022PreIncomes46[Percentage of AMI],0),MATCH($L12,ARCH2022PreIncomes46[[#Headers],[1 person]:[8 person]],0))</f>
        <v>191030.40000000002</v>
      </c>
    </row>
    <row r="13" spans="1:30" ht="14.4" thickBot="1" x14ac:dyDescent="0.3">
      <c r="A13" s="11">
        <v>0.55000000000000004</v>
      </c>
      <c r="B13" s="12">
        <f t="shared" si="0"/>
        <v>56749</v>
      </c>
      <c r="C13" s="12">
        <f t="shared" si="1"/>
        <v>64856</v>
      </c>
      <c r="D13" s="12">
        <f t="shared" si="2"/>
        <v>72963</v>
      </c>
      <c r="E13" s="12">
        <f t="shared" si="3"/>
        <v>81070</v>
      </c>
      <c r="F13" s="12">
        <f t="shared" si="4"/>
        <v>87555.6</v>
      </c>
      <c r="G13" s="12">
        <f t="shared" si="5"/>
        <v>94041.2</v>
      </c>
      <c r="H13" s="12">
        <f t="shared" si="6"/>
        <v>100526.8</v>
      </c>
      <c r="I13" s="12">
        <f t="shared" si="7"/>
        <v>107012.40000000001</v>
      </c>
      <c r="L13" s="14" t="s">
        <v>481</v>
      </c>
      <c r="M13" s="3">
        <f>INDEX(ARCH2022PreIncomes46[[1 person]:[8 person]],MATCH(M$7,ARCH2022PreIncomes46[Percentage of AMI],0),MATCH($L13,ARCH2022PreIncomes46[[#Headers],[1 person]:[8 person]],0))</f>
        <v>51295.199999999997</v>
      </c>
      <c r="N13" s="185">
        <f>INDEX(ARCH2022PreIncomes46[[1 person]:[8 person]],MATCH(N$7,ARCH2022PreIncomes46[Percentage of AMI],0),MATCH($L13,ARCH2022PreIncomes46[[#Headers],[1 person]:[8 person]],0))</f>
        <v>59844.399999999994</v>
      </c>
      <c r="O13" s="3">
        <f>INDEX(ARCH2022PreIncomes46[[1 person]:[8 person]],MATCH(O$7,ARCH2022PreIncomes46[Percentage of AMI],0),MATCH($L13,ARCH2022PreIncomes46[[#Headers],[1 person]:[8 person]],0))</f>
        <v>68393.599999999991</v>
      </c>
      <c r="P13" s="185">
        <f>INDEX(ARCH2022PreIncomes46[[1 person]:[8 person]],MATCH(P$7,ARCH2022PreIncomes46[Percentage of AMI],0),MATCH($L13,ARCH2022PreIncomes46[[#Headers],[1 person]:[8 person]],0))</f>
        <v>76942.799999999988</v>
      </c>
      <c r="Q13" s="3">
        <f>INDEX(ARCH2022PreIncomes46[[1 person]:[8 person]],MATCH(Q$7,ARCH2022PreIncomes46[Percentage of AMI],0),MATCH($L13,ARCH2022PreIncomes46[[#Headers],[1 person]:[8 person]],0))</f>
        <v>85492</v>
      </c>
      <c r="R13" s="185">
        <f>INDEX(ARCH2022PreIncomes46[[1 person]:[8 person]],MATCH(R$7,ARCH2022PreIncomes46[Percentage of AMI],0),MATCH($L13,ARCH2022PreIncomes46[[#Headers],[1 person]:[8 person]],0))</f>
        <v>94041.2</v>
      </c>
      <c r="S13" s="3">
        <f>INDEX(ARCH2022PreIncomes46[[1 person]:[8 person]],MATCH(S$7,ARCH2022PreIncomes46[Percentage of AMI],0),MATCH($L13,ARCH2022PreIncomes46[[#Headers],[1 person]:[8 person]],0))</f>
        <v>102590.39999999999</v>
      </c>
      <c r="T13" s="185">
        <f>INDEX(ARCH2022PreIncomes46[[1 person]:[8 person]],MATCH(T$7,ARCH2022PreIncomes46[Percentage of AMI],0),MATCH($L13,ARCH2022PreIncomes46[[#Headers],[1 person]:[8 person]],0))</f>
        <v>111139.59999999999</v>
      </c>
      <c r="U13" s="3">
        <f>INDEX(ARCH2022PreIncomes46[[1 person]:[8 person]],MATCH(U$7,ARCH2022PreIncomes46[Percentage of AMI],0),MATCH($L13,ARCH2022PreIncomes46[[#Headers],[1 person]:[8 person]],0))</f>
        <v>119688.79999999999</v>
      </c>
      <c r="V13" s="185">
        <f>INDEX(ARCH2022PreIncomes46[[1 person]:[8 person]],MATCH(V$7,ARCH2022PreIncomes46[Percentage of AMI],0),MATCH($L13,ARCH2022PreIncomes46[[#Headers],[1 person]:[8 person]],0))</f>
        <v>128237.99999999999</v>
      </c>
      <c r="W13" s="3">
        <f>INDEX(ARCH2022PreIncomes46[[1 person]:[8 person]],MATCH(W$7,ARCH2022PreIncomes46[Percentage of AMI],0),MATCH($L13,ARCH2022PreIncomes46[[#Headers],[1 person]:[8 person]],0))</f>
        <v>136787.19999999998</v>
      </c>
      <c r="X13" s="185">
        <f>INDEX(ARCH2022PreIncomes46[[1 person]:[8 person]],MATCH(X$7,ARCH2022PreIncomes46[Percentage of AMI],0),MATCH($L13,ARCH2022PreIncomes46[[#Headers],[1 person]:[8 person]],0))</f>
        <v>145336.4</v>
      </c>
      <c r="Y13" s="3">
        <f>INDEX(ARCH2022PreIncomes46[[1 person]:[8 person]],MATCH(Y$7,ARCH2022PreIncomes46[Percentage of AMI],0),MATCH($L13,ARCH2022PreIncomes46[[#Headers],[1 person]:[8 person]],0))</f>
        <v>153885.59999999998</v>
      </c>
      <c r="Z13" s="185">
        <f>INDEX(ARCH2022PreIncomes46[[1 person]:[8 person]],MATCH(Z$7,ARCH2022PreIncomes46[Percentage of AMI],0),MATCH($L13,ARCH2022PreIncomes46[[#Headers],[1 person]:[8 person]],0))</f>
        <v>162434.79999999999</v>
      </c>
      <c r="AA13" s="3">
        <f>INDEX(ARCH2022PreIncomes46[[1 person]:[8 person]],MATCH(AA$7,ARCH2022PreIncomes46[Percentage of AMI],0),MATCH($L13,ARCH2022PreIncomes46[[#Headers],[1 person]:[8 person]],0))</f>
        <v>170984</v>
      </c>
      <c r="AB13" s="185">
        <f>INDEX(ARCH2022PreIncomes46[[1 person]:[8 person]],MATCH(AB$7,ARCH2022PreIncomes46[Percentage of AMI],0),MATCH($L13,ARCH2022PreIncomes46[[#Headers],[1 person]:[8 person]],0))</f>
        <v>179533.19999999998</v>
      </c>
      <c r="AC13" s="3">
        <f>INDEX(ARCH2022PreIncomes46[[1 person]:[8 person]],MATCH(AC$7,ARCH2022PreIncomes46[Percentage of AMI],0),MATCH($L13,ARCH2022PreIncomes46[[#Headers],[1 person]:[8 person]],0))</f>
        <v>188082.4</v>
      </c>
      <c r="AD13" s="3">
        <f>INDEX(ARCH2022PreIncomes46[[1 person]:[8 person]],MATCH(AD$7,ARCH2022PreIncomes46[Percentage of AMI],0),MATCH($L13,ARCH2022PreIncomes46[[#Headers],[1 person]:[8 person]],0))</f>
        <v>205180.79999999999</v>
      </c>
    </row>
    <row r="14" spans="1:30" ht="14.4" thickBot="1" x14ac:dyDescent="0.3">
      <c r="A14" s="11">
        <v>0.6</v>
      </c>
      <c r="B14" s="12">
        <f t="shared" si="0"/>
        <v>61907.999999999993</v>
      </c>
      <c r="C14" s="12">
        <f t="shared" si="1"/>
        <v>70752</v>
      </c>
      <c r="D14" s="12">
        <f t="shared" si="2"/>
        <v>79596</v>
      </c>
      <c r="E14" s="12">
        <f t="shared" si="3"/>
        <v>88440</v>
      </c>
      <c r="F14" s="12">
        <f t="shared" si="4"/>
        <v>95515.200000000012</v>
      </c>
      <c r="G14" s="12">
        <f t="shared" si="5"/>
        <v>102590.39999999999</v>
      </c>
      <c r="H14" s="12">
        <f t="shared" si="6"/>
        <v>109665.60000000001</v>
      </c>
      <c r="I14" s="12">
        <f t="shared" si="7"/>
        <v>116740.8</v>
      </c>
      <c r="L14" s="14" t="s">
        <v>482</v>
      </c>
      <c r="M14" s="3">
        <f>INDEX(ARCH2022PreIncomes46[[1 person]:[8 person]],MATCH(M$7,ARCH2022PreIncomes46[Percentage of AMI],0),MATCH($L14,ARCH2022PreIncomes46[[#Headers],[1 person]:[8 person]],0))</f>
        <v>54832.800000000003</v>
      </c>
      <c r="N14" s="185">
        <f>INDEX(ARCH2022PreIncomes46[[1 person]:[8 person]],MATCH(N$7,ARCH2022PreIncomes46[Percentage of AMI],0),MATCH($L14,ARCH2022PreIncomes46[[#Headers],[1 person]:[8 person]],0))</f>
        <v>63971.6</v>
      </c>
      <c r="O14" s="3">
        <f>INDEX(ARCH2022PreIncomes46[[1 person]:[8 person]],MATCH(O$7,ARCH2022PreIncomes46[Percentage of AMI],0),MATCH($L14,ARCH2022PreIncomes46[[#Headers],[1 person]:[8 person]],0))</f>
        <v>73110.399999999994</v>
      </c>
      <c r="P14" s="185">
        <f>INDEX(ARCH2022PreIncomes46[[1 person]:[8 person]],MATCH(P$7,ARCH2022PreIncomes46[Percentage of AMI],0),MATCH($L14,ARCH2022PreIncomes46[[#Headers],[1 person]:[8 person]],0))</f>
        <v>82249.2</v>
      </c>
      <c r="Q14" s="3">
        <f>INDEX(ARCH2022PreIncomes46[[1 person]:[8 person]],MATCH(Q$7,ARCH2022PreIncomes46[Percentage of AMI],0),MATCH($L14,ARCH2022PreIncomes46[[#Headers],[1 person]:[8 person]],0))</f>
        <v>91388</v>
      </c>
      <c r="R14" s="185">
        <f>INDEX(ARCH2022PreIncomes46[[1 person]:[8 person]],MATCH(R$7,ARCH2022PreIncomes46[Percentage of AMI],0),MATCH($L14,ARCH2022PreIncomes46[[#Headers],[1 person]:[8 person]],0))</f>
        <v>100526.8</v>
      </c>
      <c r="S14" s="3">
        <f>INDEX(ARCH2022PreIncomes46[[1 person]:[8 person]],MATCH(S$7,ARCH2022PreIncomes46[Percentage of AMI],0),MATCH($L14,ARCH2022PreIncomes46[[#Headers],[1 person]:[8 person]],0))</f>
        <v>109665.60000000001</v>
      </c>
      <c r="T14" s="185">
        <f>INDEX(ARCH2022PreIncomes46[[1 person]:[8 person]],MATCH(T$7,ARCH2022PreIncomes46[Percentage of AMI],0),MATCH($L14,ARCH2022PreIncomes46[[#Headers],[1 person]:[8 person]],0))</f>
        <v>118804.4</v>
      </c>
      <c r="U14" s="3">
        <f>INDEX(ARCH2022PreIncomes46[[1 person]:[8 person]],MATCH(U$7,ARCH2022PreIncomes46[Percentage of AMI],0),MATCH($L14,ARCH2022PreIncomes46[[#Headers],[1 person]:[8 person]],0))</f>
        <v>127943.2</v>
      </c>
      <c r="V14" s="185">
        <f>INDEX(ARCH2022PreIncomes46[[1 person]:[8 person]],MATCH(V$7,ARCH2022PreIncomes46[Percentage of AMI],0),MATCH($L14,ARCH2022PreIncomes46[[#Headers],[1 person]:[8 person]],0))</f>
        <v>137082</v>
      </c>
      <c r="W14" s="3">
        <f>INDEX(ARCH2022PreIncomes46[[1 person]:[8 person]],MATCH(W$7,ARCH2022PreIncomes46[Percentage of AMI],0),MATCH($L14,ARCH2022PreIncomes46[[#Headers],[1 person]:[8 person]],0))</f>
        <v>146220.79999999999</v>
      </c>
      <c r="X14" s="185">
        <f>INDEX(ARCH2022PreIncomes46[[1 person]:[8 person]],MATCH(X$7,ARCH2022PreIncomes46[Percentage of AMI],0),MATCH($L14,ARCH2022PreIncomes46[[#Headers],[1 person]:[8 person]],0))</f>
        <v>155359.6</v>
      </c>
      <c r="Y14" s="3">
        <f>INDEX(ARCH2022PreIncomes46[[1 person]:[8 person]],MATCH(Y$7,ARCH2022PreIncomes46[Percentage of AMI],0),MATCH($L14,ARCH2022PreIncomes46[[#Headers],[1 person]:[8 person]],0))</f>
        <v>164498.4</v>
      </c>
      <c r="Z14" s="185">
        <f>INDEX(ARCH2022PreIncomes46[[1 person]:[8 person]],MATCH(Z$7,ARCH2022PreIncomes46[Percentage of AMI],0),MATCH($L14,ARCH2022PreIncomes46[[#Headers],[1 person]:[8 person]],0))</f>
        <v>173637.2</v>
      </c>
      <c r="AA14" s="3">
        <f>INDEX(ARCH2022PreIncomes46[[1 person]:[8 person]],MATCH(AA$7,ARCH2022PreIncomes46[Percentage of AMI],0),MATCH($L14,ARCH2022PreIncomes46[[#Headers],[1 person]:[8 person]],0))</f>
        <v>182776</v>
      </c>
      <c r="AB14" s="185">
        <f>INDEX(ARCH2022PreIncomes46[[1 person]:[8 person]],MATCH(AB$7,ARCH2022PreIncomes46[Percentage of AMI],0),MATCH($L14,ARCH2022PreIncomes46[[#Headers],[1 person]:[8 person]],0))</f>
        <v>191914.8</v>
      </c>
      <c r="AC14" s="3">
        <f>INDEX(ARCH2022PreIncomes46[[1 person]:[8 person]],MATCH(AC$7,ARCH2022PreIncomes46[Percentage of AMI],0),MATCH($L14,ARCH2022PreIncomes46[[#Headers],[1 person]:[8 person]],0))</f>
        <v>201053.6</v>
      </c>
      <c r="AD14" s="3">
        <f>INDEX(ARCH2022PreIncomes46[[1 person]:[8 person]],MATCH(AD$7,ARCH2022PreIncomes46[Percentage of AMI],0),MATCH($L14,ARCH2022PreIncomes46[[#Headers],[1 person]:[8 person]],0))</f>
        <v>219331.20000000001</v>
      </c>
    </row>
    <row r="15" spans="1:30" ht="14.4" thickBot="1" x14ac:dyDescent="0.3">
      <c r="A15" s="11">
        <v>0.65</v>
      </c>
      <c r="B15" s="12">
        <f t="shared" si="0"/>
        <v>67067</v>
      </c>
      <c r="C15" s="12">
        <f t="shared" si="1"/>
        <v>76648</v>
      </c>
      <c r="D15" s="12">
        <f t="shared" si="2"/>
        <v>86229</v>
      </c>
      <c r="E15" s="12">
        <f t="shared" si="3"/>
        <v>95810</v>
      </c>
      <c r="F15" s="12">
        <f t="shared" si="4"/>
        <v>103474.8</v>
      </c>
      <c r="G15" s="12">
        <f t="shared" si="5"/>
        <v>111139.59999999999</v>
      </c>
      <c r="H15" s="12">
        <f t="shared" si="6"/>
        <v>118804.4</v>
      </c>
      <c r="I15" s="12">
        <f t="shared" si="7"/>
        <v>126469.20000000001</v>
      </c>
      <c r="L15" s="14" t="s">
        <v>483</v>
      </c>
      <c r="M15" s="3">
        <f>INDEX(ARCH2022PreIncomes46[[1 person]:[8 person]],MATCH(M$7,ARCH2022PreIncomes46[Percentage of AMI],0),MATCH($L15,ARCH2022PreIncomes46[[#Headers],[1 person]:[8 person]],0))</f>
        <v>58370.400000000001</v>
      </c>
      <c r="N15" s="185">
        <f>INDEX(ARCH2022PreIncomes46[[1 person]:[8 person]],MATCH(N$7,ARCH2022PreIncomes46[Percentage of AMI],0),MATCH($L15,ARCH2022PreIncomes46[[#Headers],[1 person]:[8 person]],0))</f>
        <v>68098.8</v>
      </c>
      <c r="O15" s="3">
        <f>INDEX(ARCH2022PreIncomes46[[1 person]:[8 person]],MATCH(O$7,ARCH2022PreIncomes46[Percentage of AMI],0),MATCH($L15,ARCH2022PreIncomes46[[#Headers],[1 person]:[8 person]],0))</f>
        <v>77827.199999999997</v>
      </c>
      <c r="P15" s="185">
        <f>INDEX(ARCH2022PreIncomes46[[1 person]:[8 person]],MATCH(P$7,ARCH2022PreIncomes46[Percentage of AMI],0),MATCH($L15,ARCH2022PreIncomes46[[#Headers],[1 person]:[8 person]],0))</f>
        <v>87555.6</v>
      </c>
      <c r="Q15" s="3">
        <f>INDEX(ARCH2022PreIncomes46[[1 person]:[8 person]],MATCH(Q$7,ARCH2022PreIncomes46[Percentage of AMI],0),MATCH($L15,ARCH2022PreIncomes46[[#Headers],[1 person]:[8 person]],0))</f>
        <v>97284</v>
      </c>
      <c r="R15" s="185">
        <f>INDEX(ARCH2022PreIncomes46[[1 person]:[8 person]],MATCH(R$7,ARCH2022PreIncomes46[Percentage of AMI],0),MATCH($L15,ARCH2022PreIncomes46[[#Headers],[1 person]:[8 person]],0))</f>
        <v>107012.40000000001</v>
      </c>
      <c r="S15" s="3">
        <f>INDEX(ARCH2022PreIncomes46[[1 person]:[8 person]],MATCH(S$7,ARCH2022PreIncomes46[Percentage of AMI],0),MATCH($L15,ARCH2022PreIncomes46[[#Headers],[1 person]:[8 person]],0))</f>
        <v>116740.8</v>
      </c>
      <c r="T15" s="185">
        <f>INDEX(ARCH2022PreIncomes46[[1 person]:[8 person]],MATCH(T$7,ARCH2022PreIncomes46[Percentage of AMI],0),MATCH($L15,ARCH2022PreIncomes46[[#Headers],[1 person]:[8 person]],0))</f>
        <v>126469.20000000001</v>
      </c>
      <c r="U15" s="3">
        <f>INDEX(ARCH2022PreIncomes46[[1 person]:[8 person]],MATCH(U$7,ARCH2022PreIncomes46[Percentage of AMI],0),MATCH($L15,ARCH2022PreIncomes46[[#Headers],[1 person]:[8 person]],0))</f>
        <v>136197.6</v>
      </c>
      <c r="V15" s="185">
        <f>INDEX(ARCH2022PreIncomes46[[1 person]:[8 person]],MATCH(V$7,ARCH2022PreIncomes46[Percentage of AMI],0),MATCH($L15,ARCH2022PreIncomes46[[#Headers],[1 person]:[8 person]],0))</f>
        <v>145926</v>
      </c>
      <c r="W15" s="3">
        <f>INDEX(ARCH2022PreIncomes46[[1 person]:[8 person]],MATCH(W$7,ARCH2022PreIncomes46[Percentage of AMI],0),MATCH($L15,ARCH2022PreIncomes46[[#Headers],[1 person]:[8 person]],0))</f>
        <v>155654.39999999999</v>
      </c>
      <c r="X15" s="185">
        <f>INDEX(ARCH2022PreIncomes46[[1 person]:[8 person]],MATCH(X$7,ARCH2022PreIncomes46[Percentage of AMI],0),MATCH($L15,ARCH2022PreIncomes46[[#Headers],[1 person]:[8 person]],0))</f>
        <v>165382.80000000002</v>
      </c>
      <c r="Y15" s="3">
        <f>INDEX(ARCH2022PreIncomes46[[1 person]:[8 person]],MATCH(Y$7,ARCH2022PreIncomes46[Percentage of AMI],0),MATCH($L15,ARCH2022PreIncomes46[[#Headers],[1 person]:[8 person]],0))</f>
        <v>175111.2</v>
      </c>
      <c r="Z15" s="185">
        <f>INDEX(ARCH2022PreIncomes46[[1 person]:[8 person]],MATCH(Z$7,ARCH2022PreIncomes46[Percentage of AMI],0),MATCH($L15,ARCH2022PreIncomes46[[#Headers],[1 person]:[8 person]],0))</f>
        <v>184839.6</v>
      </c>
      <c r="AA15" s="3">
        <f>INDEX(ARCH2022PreIncomes46[[1 person]:[8 person]],MATCH(AA$7,ARCH2022PreIncomes46[Percentage of AMI],0),MATCH($L15,ARCH2022PreIncomes46[[#Headers],[1 person]:[8 person]],0))</f>
        <v>194568</v>
      </c>
      <c r="AB15" s="185">
        <f>INDEX(ARCH2022PreIncomes46[[1 person]:[8 person]],MATCH(AB$7,ARCH2022PreIncomes46[Percentage of AMI],0),MATCH($L15,ARCH2022PreIncomes46[[#Headers],[1 person]:[8 person]],0))</f>
        <v>204296.40000000002</v>
      </c>
      <c r="AC15" s="3">
        <f>INDEX(ARCH2022PreIncomes46[[1 person]:[8 person]],MATCH(AC$7,ARCH2022PreIncomes46[Percentage of AMI],0),MATCH($L15,ARCH2022PreIncomes46[[#Headers],[1 person]:[8 person]],0))</f>
        <v>214024.80000000002</v>
      </c>
      <c r="AD15" s="3">
        <f>INDEX(ARCH2022PreIncomes46[[1 person]:[8 person]],MATCH(AD$7,ARCH2022PreIncomes46[Percentage of AMI],0),MATCH($L15,ARCH2022PreIncomes46[[#Headers],[1 person]:[8 person]],0))</f>
        <v>233481.60000000001</v>
      </c>
    </row>
    <row r="16" spans="1:30" x14ac:dyDescent="0.25">
      <c r="A16" s="11">
        <v>0.7</v>
      </c>
      <c r="B16" s="12">
        <f t="shared" si="0"/>
        <v>72226</v>
      </c>
      <c r="C16" s="12">
        <f t="shared" si="1"/>
        <v>82544</v>
      </c>
      <c r="D16" s="12">
        <f t="shared" si="2"/>
        <v>92862</v>
      </c>
      <c r="E16" s="12">
        <f t="shared" si="3"/>
        <v>103180</v>
      </c>
      <c r="F16" s="12">
        <f t="shared" si="4"/>
        <v>111434.40000000001</v>
      </c>
      <c r="G16" s="12">
        <f t="shared" si="5"/>
        <v>119688.79999999999</v>
      </c>
      <c r="H16" s="12">
        <f t="shared" si="6"/>
        <v>127943.2</v>
      </c>
      <c r="I16" s="12">
        <f t="shared" si="7"/>
        <v>136197.6</v>
      </c>
    </row>
    <row r="17" spans="1:33" x14ac:dyDescent="0.25">
      <c r="A17" s="11">
        <v>0.75</v>
      </c>
      <c r="B17" s="12">
        <f t="shared" si="0"/>
        <v>77385</v>
      </c>
      <c r="C17" s="12">
        <f t="shared" si="1"/>
        <v>88440</v>
      </c>
      <c r="D17" s="12">
        <f t="shared" si="2"/>
        <v>99495</v>
      </c>
      <c r="E17" s="12">
        <f t="shared" si="3"/>
        <v>110550</v>
      </c>
      <c r="F17" s="12">
        <f t="shared" si="4"/>
        <v>119394.00000000001</v>
      </c>
      <c r="G17" s="12">
        <f t="shared" si="5"/>
        <v>128237.99999999999</v>
      </c>
      <c r="H17" s="12">
        <f t="shared" si="6"/>
        <v>137082</v>
      </c>
      <c r="I17" s="12">
        <f t="shared" si="7"/>
        <v>145926</v>
      </c>
    </row>
    <row r="18" spans="1:33" x14ac:dyDescent="0.25">
      <c r="A18" s="11">
        <v>0.8</v>
      </c>
      <c r="B18" s="12">
        <f t="shared" si="0"/>
        <v>82544</v>
      </c>
      <c r="C18" s="12">
        <f t="shared" si="1"/>
        <v>94336</v>
      </c>
      <c r="D18" s="12">
        <f t="shared" si="2"/>
        <v>106128</v>
      </c>
      <c r="E18" s="12">
        <f t="shared" si="3"/>
        <v>117920</v>
      </c>
      <c r="F18" s="12">
        <f t="shared" si="4"/>
        <v>127353.60000000001</v>
      </c>
      <c r="G18" s="12">
        <f t="shared" si="5"/>
        <v>136787.19999999998</v>
      </c>
      <c r="H18" s="12">
        <f t="shared" si="6"/>
        <v>146220.79999999999</v>
      </c>
      <c r="I18" s="12">
        <f t="shared" si="7"/>
        <v>155654.39999999999</v>
      </c>
    </row>
    <row r="19" spans="1:33" x14ac:dyDescent="0.25">
      <c r="A19" s="11">
        <v>0.85</v>
      </c>
      <c r="B19" s="12">
        <f t="shared" si="0"/>
        <v>87703</v>
      </c>
      <c r="C19" s="12">
        <f t="shared" si="1"/>
        <v>100232</v>
      </c>
      <c r="D19" s="12">
        <f t="shared" si="2"/>
        <v>112761</v>
      </c>
      <c r="E19" s="12">
        <f t="shared" si="3"/>
        <v>125290</v>
      </c>
      <c r="F19" s="12">
        <f t="shared" si="4"/>
        <v>135313.20000000001</v>
      </c>
      <c r="G19" s="12">
        <f t="shared" si="5"/>
        <v>145336.4</v>
      </c>
      <c r="H19" s="12">
        <f t="shared" si="6"/>
        <v>155359.6</v>
      </c>
      <c r="I19" s="12">
        <f t="shared" si="7"/>
        <v>165382.80000000002</v>
      </c>
    </row>
    <row r="20" spans="1:33" x14ac:dyDescent="0.25">
      <c r="A20" s="11">
        <v>0.9</v>
      </c>
      <c r="B20" s="12">
        <f t="shared" si="0"/>
        <v>92862</v>
      </c>
      <c r="C20" s="12">
        <f t="shared" si="1"/>
        <v>106128</v>
      </c>
      <c r="D20" s="12">
        <f t="shared" si="2"/>
        <v>119394</v>
      </c>
      <c r="E20" s="12">
        <f t="shared" si="3"/>
        <v>132660</v>
      </c>
      <c r="F20" s="12">
        <f t="shared" si="4"/>
        <v>143272.80000000002</v>
      </c>
      <c r="G20" s="12">
        <f t="shared" si="5"/>
        <v>153885.59999999998</v>
      </c>
      <c r="H20" s="12">
        <f t="shared" si="6"/>
        <v>164498.4</v>
      </c>
      <c r="I20" s="12">
        <f t="shared" si="7"/>
        <v>175111.2</v>
      </c>
    </row>
    <row r="21" spans="1:33" x14ac:dyDescent="0.25">
      <c r="A21" s="11">
        <v>0.95</v>
      </c>
      <c r="B21" s="12">
        <f t="shared" si="0"/>
        <v>98021</v>
      </c>
      <c r="C21" s="12">
        <f t="shared" si="1"/>
        <v>112024</v>
      </c>
      <c r="D21" s="12">
        <f t="shared" si="2"/>
        <v>126027</v>
      </c>
      <c r="E21" s="12">
        <f t="shared" si="3"/>
        <v>140030</v>
      </c>
      <c r="F21" s="12">
        <f t="shared" si="4"/>
        <v>151232.40000000002</v>
      </c>
      <c r="G21" s="12">
        <f t="shared" si="5"/>
        <v>162434.79999999999</v>
      </c>
      <c r="H21" s="12">
        <f t="shared" si="6"/>
        <v>173637.2</v>
      </c>
      <c r="I21" s="12">
        <f t="shared" si="7"/>
        <v>184839.6</v>
      </c>
    </row>
    <row r="22" spans="1:33" x14ac:dyDescent="0.25">
      <c r="A22" s="11">
        <v>1</v>
      </c>
      <c r="B22" s="12">
        <f t="shared" si="0"/>
        <v>103180</v>
      </c>
      <c r="C22" s="12">
        <f t="shared" si="1"/>
        <v>117920</v>
      </c>
      <c r="D22" s="12">
        <f t="shared" si="2"/>
        <v>132660</v>
      </c>
      <c r="E22" s="12">
        <f>$C$2*A22</f>
        <v>147400</v>
      </c>
      <c r="F22" s="12">
        <f t="shared" si="4"/>
        <v>159192</v>
      </c>
      <c r="G22" s="12">
        <f t="shared" si="5"/>
        <v>170984</v>
      </c>
      <c r="H22" s="12">
        <f t="shared" si="6"/>
        <v>182776</v>
      </c>
      <c r="I22" s="12">
        <f t="shared" si="7"/>
        <v>194568</v>
      </c>
    </row>
    <row r="23" spans="1:33" x14ac:dyDescent="0.25">
      <c r="A23" s="11">
        <v>1.05</v>
      </c>
      <c r="B23" s="12">
        <f t="shared" si="0"/>
        <v>108339</v>
      </c>
      <c r="C23" s="12">
        <f t="shared" si="1"/>
        <v>123816</v>
      </c>
      <c r="D23" s="12">
        <f t="shared" si="2"/>
        <v>139293</v>
      </c>
      <c r="E23" s="12">
        <f>$C$2*A23</f>
        <v>154770</v>
      </c>
      <c r="F23" s="12">
        <f t="shared" si="4"/>
        <v>167151.6</v>
      </c>
      <c r="G23" s="12">
        <f t="shared" si="5"/>
        <v>179533.19999999998</v>
      </c>
      <c r="H23" s="12">
        <f t="shared" si="6"/>
        <v>191914.8</v>
      </c>
      <c r="I23" s="12">
        <f t="shared" si="7"/>
        <v>204296.40000000002</v>
      </c>
    </row>
    <row r="24" spans="1:33" x14ac:dyDescent="0.25">
      <c r="A24" s="11">
        <v>1.1000000000000001</v>
      </c>
      <c r="B24" s="12">
        <f t="shared" si="0"/>
        <v>113498</v>
      </c>
      <c r="C24" s="12">
        <f t="shared" si="1"/>
        <v>129712</v>
      </c>
      <c r="D24" s="12">
        <f t="shared" si="2"/>
        <v>145926</v>
      </c>
      <c r="E24" s="12">
        <f t="shared" si="3"/>
        <v>162140</v>
      </c>
      <c r="F24" s="12">
        <f t="shared" si="4"/>
        <v>175111.2</v>
      </c>
      <c r="G24" s="12">
        <f t="shared" si="5"/>
        <v>188082.4</v>
      </c>
      <c r="H24" s="12">
        <f t="shared" si="6"/>
        <v>201053.6</v>
      </c>
      <c r="I24" s="12">
        <f t="shared" si="7"/>
        <v>214024.80000000002</v>
      </c>
    </row>
    <row r="25" spans="1:33" x14ac:dyDescent="0.25">
      <c r="A25" s="11">
        <v>1.2</v>
      </c>
      <c r="B25" s="12">
        <f t="shared" si="0"/>
        <v>123815.99999999999</v>
      </c>
      <c r="C25" s="12">
        <f t="shared" si="1"/>
        <v>141504</v>
      </c>
      <c r="D25" s="12">
        <f t="shared" si="2"/>
        <v>159192</v>
      </c>
      <c r="E25" s="12">
        <f t="shared" si="3"/>
        <v>176880</v>
      </c>
      <c r="F25" s="12">
        <f t="shared" si="4"/>
        <v>191030.40000000002</v>
      </c>
      <c r="G25" s="12">
        <f t="shared" si="5"/>
        <v>205180.79999999999</v>
      </c>
      <c r="H25" s="12">
        <f t="shared" si="6"/>
        <v>219331.20000000001</v>
      </c>
      <c r="I25" s="12">
        <f t="shared" si="7"/>
        <v>233481.60000000001</v>
      </c>
    </row>
    <row r="27" spans="1:33" x14ac:dyDescent="0.25">
      <c r="B27" s="15" t="s">
        <v>484</v>
      </c>
      <c r="C27" s="15" t="s">
        <v>485</v>
      </c>
      <c r="D27" s="15" t="s">
        <v>486</v>
      </c>
      <c r="E27" s="15" t="s">
        <v>487</v>
      </c>
      <c r="F27" s="15" t="s">
        <v>488</v>
      </c>
      <c r="G27" s="15" t="s">
        <v>489</v>
      </c>
      <c r="H27" s="15" t="s">
        <v>490</v>
      </c>
      <c r="I27" s="15" t="s">
        <v>491</v>
      </c>
    </row>
    <row r="28" spans="1:33" x14ac:dyDescent="0.25">
      <c r="B28" s="15">
        <v>0.7</v>
      </c>
      <c r="C28" s="15">
        <v>0.8</v>
      </c>
      <c r="D28" s="15">
        <v>0.9</v>
      </c>
      <c r="E28" s="15">
        <v>1</v>
      </c>
      <c r="F28" s="15">
        <v>1.08</v>
      </c>
      <c r="G28" s="15">
        <v>1.1599999999999999</v>
      </c>
      <c r="H28" s="15">
        <v>1.24</v>
      </c>
      <c r="I28" s="15">
        <v>1.32</v>
      </c>
    </row>
    <row r="30" spans="1:33" x14ac:dyDescent="0.25">
      <c r="A30" s="622" t="s">
        <v>492</v>
      </c>
      <c r="B30" s="622"/>
      <c r="C30" s="622"/>
      <c r="D30" s="622"/>
      <c r="E30" s="622"/>
      <c r="F30" s="622"/>
      <c r="H30" s="622" t="s">
        <v>492</v>
      </c>
      <c r="I30" s="622"/>
      <c r="J30" s="622"/>
      <c r="K30" s="622"/>
      <c r="L30" s="622"/>
      <c r="M30" s="622"/>
    </row>
    <row r="31" spans="1:33" x14ac:dyDescent="0.25">
      <c r="A31" s="5" t="s">
        <v>493</v>
      </c>
      <c r="B31" s="5"/>
      <c r="C31" s="5"/>
      <c r="D31" s="5"/>
      <c r="E31" s="5"/>
      <c r="F31" s="5"/>
      <c r="H31" s="5" t="s">
        <v>494</v>
      </c>
      <c r="I31" s="5"/>
      <c r="J31" s="5"/>
      <c r="K31" s="5"/>
      <c r="L31" s="5"/>
      <c r="M31" s="5"/>
    </row>
    <row r="32" spans="1:33" ht="27.6" x14ac:dyDescent="0.25">
      <c r="A32" s="7" t="s">
        <v>475</v>
      </c>
      <c r="B32" s="16" t="s">
        <v>146</v>
      </c>
      <c r="C32" s="16" t="s">
        <v>148</v>
      </c>
      <c r="D32" s="16" t="s">
        <v>149</v>
      </c>
      <c r="E32" s="16" t="s">
        <v>150</v>
      </c>
      <c r="F32" s="16" t="s">
        <v>152</v>
      </c>
      <c r="G32" s="16"/>
      <c r="H32" s="7" t="s">
        <v>475</v>
      </c>
      <c r="I32" s="16" t="s">
        <v>146</v>
      </c>
      <c r="J32" s="16" t="s">
        <v>148</v>
      </c>
      <c r="K32" s="16" t="s">
        <v>149</v>
      </c>
      <c r="L32" s="16" t="s">
        <v>150</v>
      </c>
      <c r="M32" s="16" t="s">
        <v>152</v>
      </c>
      <c r="P32" s="11">
        <v>0.3</v>
      </c>
      <c r="Q32" s="11">
        <v>0.35</v>
      </c>
      <c r="R32" s="11">
        <v>0.4</v>
      </c>
      <c r="S32" s="11">
        <v>0.45</v>
      </c>
      <c r="T32" s="11">
        <v>0.5</v>
      </c>
      <c r="U32" s="11">
        <v>0.55000000000000004</v>
      </c>
      <c r="V32" s="11">
        <v>0.6</v>
      </c>
      <c r="W32" s="11">
        <v>0.65</v>
      </c>
      <c r="X32" s="11">
        <v>0.7</v>
      </c>
      <c r="Y32" s="11">
        <v>0.75</v>
      </c>
      <c r="Z32" s="11">
        <v>0.8</v>
      </c>
      <c r="AA32" s="11">
        <v>0.85</v>
      </c>
      <c r="AB32" s="11">
        <v>0.9</v>
      </c>
      <c r="AC32" s="11">
        <v>0.95</v>
      </c>
      <c r="AD32" s="11">
        <v>1</v>
      </c>
      <c r="AE32" s="11">
        <v>1.05</v>
      </c>
      <c r="AF32" s="11">
        <v>1.1000000000000001</v>
      </c>
      <c r="AG32" s="11">
        <v>1.2</v>
      </c>
    </row>
    <row r="33" spans="1:33" x14ac:dyDescent="0.25">
      <c r="A33" s="11">
        <v>0.3</v>
      </c>
      <c r="B33" s="17">
        <f t="shared" ref="B33:B50" si="8">$C$2*A33*$B$28/12*0.3</f>
        <v>773.8499999999998</v>
      </c>
      <c r="C33" s="17">
        <f t="shared" ref="C33:C50" si="9">$C$2*A33*$C$28/12*0.3</f>
        <v>884.4</v>
      </c>
      <c r="D33" s="17">
        <f t="shared" ref="D33:D50" si="10">$C$2*A33*$D$28/12*0.3</f>
        <v>994.94999999999993</v>
      </c>
      <c r="E33" s="17">
        <f t="shared" ref="E33:E50" si="11">$C$2*A33/12*0.3*$E$28</f>
        <v>1105.5</v>
      </c>
      <c r="F33" s="17">
        <f t="shared" ref="F33:F50" si="12">$C$2*A33/12*0.3*$F$28</f>
        <v>1193.94</v>
      </c>
      <c r="G33" s="12"/>
      <c r="H33" s="11">
        <v>0.3</v>
      </c>
      <c r="I33" s="17">
        <f>$C$2*H33*$I$56/12*0.3</f>
        <v>773.8499999999998</v>
      </c>
      <c r="J33" s="17">
        <f t="shared" ref="J33:J53" si="13">$C$2*H33*$J$56/12*0.3</f>
        <v>829.125</v>
      </c>
      <c r="K33" s="17">
        <f t="shared" ref="K33:K53" si="14">$C$2*H33*$K$56/12*0.3</f>
        <v>994.94999999999993</v>
      </c>
      <c r="L33" s="17">
        <f t="shared" ref="L33:L53" si="15">$C$2*H33/12*0.3*$L$56</f>
        <v>1149.72</v>
      </c>
      <c r="M33" s="17">
        <f t="shared" ref="M33:M53" si="16">$C$2*H33/12*0.3*$M$56</f>
        <v>1282.3799999999999</v>
      </c>
      <c r="O33" s="16" t="s">
        <v>146</v>
      </c>
      <c r="P33" s="3">
        <f>INDEX($I$33:$M$53,MATCH(P$32,$H$33:$H$53,0),MATCH($O33,$I$32:$M$32,0))</f>
        <v>773.8499999999998</v>
      </c>
      <c r="Q33" s="3">
        <f t="shared" ref="Q33:AG37" si="17">INDEX($I$33:$M$53,MATCH(Q$32,$H$33:$H$53,0),MATCH($O33,$I$32:$M$32,0))</f>
        <v>902.82499999999993</v>
      </c>
      <c r="R33" s="3">
        <f t="shared" si="17"/>
        <v>1031.8</v>
      </c>
      <c r="S33" s="3">
        <f t="shared" si="17"/>
        <v>1160.7749999999999</v>
      </c>
      <c r="T33" s="3">
        <f t="shared" si="17"/>
        <v>1289.75</v>
      </c>
      <c r="U33" s="3">
        <f t="shared" si="17"/>
        <v>1418.7249999999999</v>
      </c>
      <c r="V33" s="3">
        <f t="shared" si="17"/>
        <v>1547.6999999999996</v>
      </c>
      <c r="W33" s="3">
        <f t="shared" si="17"/>
        <v>1676.675</v>
      </c>
      <c r="X33" s="3">
        <f t="shared" si="17"/>
        <v>1805.6499999999999</v>
      </c>
      <c r="Y33" s="3">
        <f t="shared" si="17"/>
        <v>1934.625</v>
      </c>
      <c r="Z33" s="3">
        <f t="shared" si="17"/>
        <v>2063.6</v>
      </c>
      <c r="AA33" s="3">
        <f t="shared" si="17"/>
        <v>2192.5749999999998</v>
      </c>
      <c r="AB33" s="3">
        <f t="shared" si="17"/>
        <v>2321.5499999999997</v>
      </c>
      <c r="AC33" s="3">
        <f t="shared" si="17"/>
        <v>2450.5250000000001</v>
      </c>
      <c r="AD33" s="3">
        <f t="shared" si="17"/>
        <v>2579.5</v>
      </c>
      <c r="AE33" s="3">
        <f t="shared" si="17"/>
        <v>2708.4749999999999</v>
      </c>
      <c r="AF33" s="3">
        <f t="shared" si="17"/>
        <v>2837.45</v>
      </c>
      <c r="AG33" s="3">
        <f t="shared" si="17"/>
        <v>3095.3999999999992</v>
      </c>
    </row>
    <row r="34" spans="1:33" x14ac:dyDescent="0.25">
      <c r="A34" s="11">
        <v>0.35</v>
      </c>
      <c r="B34" s="17">
        <f t="shared" si="8"/>
        <v>902.82499999999993</v>
      </c>
      <c r="C34" s="17">
        <f t="shared" si="9"/>
        <v>1031.8</v>
      </c>
      <c r="D34" s="17">
        <f t="shared" si="10"/>
        <v>1160.7749999999999</v>
      </c>
      <c r="E34" s="17">
        <f t="shared" si="11"/>
        <v>1289.75</v>
      </c>
      <c r="F34" s="17">
        <f t="shared" si="12"/>
        <v>1392.93</v>
      </c>
      <c r="G34" s="12"/>
      <c r="H34" s="11">
        <v>0.35</v>
      </c>
      <c r="I34" s="17">
        <f t="shared" ref="I34:I53" si="18">$C$2*H34*$I$56/12*0.3</f>
        <v>902.82499999999993</v>
      </c>
      <c r="J34" s="17">
        <f t="shared" si="13"/>
        <v>967.3125</v>
      </c>
      <c r="K34" s="17">
        <f t="shared" si="14"/>
        <v>1160.7749999999999</v>
      </c>
      <c r="L34" s="17">
        <f t="shared" si="15"/>
        <v>1341.3400000000001</v>
      </c>
      <c r="M34" s="17">
        <f t="shared" si="16"/>
        <v>1496.11</v>
      </c>
      <c r="O34" s="16" t="s">
        <v>148</v>
      </c>
      <c r="P34" s="3">
        <f t="shared" ref="P34:AE37" si="19">INDEX($I$33:$M$53,MATCH(P$32,$H$33:$H$53,0),MATCH($O34,$I$32:$M$32,0))</f>
        <v>829.125</v>
      </c>
      <c r="Q34" s="3">
        <f t="shared" si="19"/>
        <v>967.3125</v>
      </c>
      <c r="R34" s="3">
        <f t="shared" si="19"/>
        <v>1105.5</v>
      </c>
      <c r="S34" s="3">
        <f t="shared" si="19"/>
        <v>1243.6875</v>
      </c>
      <c r="T34" s="3">
        <f t="shared" si="19"/>
        <v>1381.875</v>
      </c>
      <c r="U34" s="3">
        <f t="shared" si="19"/>
        <v>1520.0625</v>
      </c>
      <c r="V34" s="3">
        <f t="shared" si="19"/>
        <v>1658.25</v>
      </c>
      <c r="W34" s="3">
        <f t="shared" si="19"/>
        <v>1796.4375</v>
      </c>
      <c r="X34" s="3">
        <f t="shared" si="19"/>
        <v>1934.625</v>
      </c>
      <c r="Y34" s="3">
        <f t="shared" si="19"/>
        <v>2072.8125</v>
      </c>
      <c r="Z34" s="3">
        <f t="shared" si="19"/>
        <v>2211</v>
      </c>
      <c r="AA34" s="3">
        <f t="shared" si="19"/>
        <v>2349.1875</v>
      </c>
      <c r="AB34" s="3">
        <f t="shared" si="19"/>
        <v>2487.375</v>
      </c>
      <c r="AC34" s="3">
        <f t="shared" si="19"/>
        <v>2625.5625</v>
      </c>
      <c r="AD34" s="3">
        <f t="shared" si="19"/>
        <v>2763.75</v>
      </c>
      <c r="AE34" s="3">
        <f t="shared" si="19"/>
        <v>2901.9375</v>
      </c>
      <c r="AF34" s="3">
        <f t="shared" si="17"/>
        <v>3040.125</v>
      </c>
      <c r="AG34" s="3">
        <f t="shared" si="17"/>
        <v>3316.5</v>
      </c>
    </row>
    <row r="35" spans="1:33" x14ac:dyDescent="0.25">
      <c r="A35" s="11">
        <v>0.4</v>
      </c>
      <c r="B35" s="17">
        <f t="shared" si="8"/>
        <v>1031.8</v>
      </c>
      <c r="C35" s="17">
        <f t="shared" si="9"/>
        <v>1179.1999999999998</v>
      </c>
      <c r="D35" s="17">
        <f t="shared" si="10"/>
        <v>1326.6</v>
      </c>
      <c r="E35" s="17">
        <f t="shared" si="11"/>
        <v>1473.9999999999998</v>
      </c>
      <c r="F35" s="17">
        <f t="shared" si="12"/>
        <v>1591.9199999999998</v>
      </c>
      <c r="G35" s="12"/>
      <c r="H35" s="11">
        <v>0.4</v>
      </c>
      <c r="I35" s="17">
        <f t="shared" si="18"/>
        <v>1031.8</v>
      </c>
      <c r="J35" s="17">
        <f t="shared" si="13"/>
        <v>1105.5</v>
      </c>
      <c r="K35" s="17">
        <f t="shared" si="14"/>
        <v>1326.6</v>
      </c>
      <c r="L35" s="17">
        <f t="shared" si="15"/>
        <v>1532.9599999999998</v>
      </c>
      <c r="M35" s="17">
        <f t="shared" si="16"/>
        <v>1709.8399999999997</v>
      </c>
      <c r="O35" s="16" t="s">
        <v>149</v>
      </c>
      <c r="P35" s="3">
        <f t="shared" si="19"/>
        <v>994.94999999999993</v>
      </c>
      <c r="Q35" s="3">
        <f t="shared" si="17"/>
        <v>1160.7749999999999</v>
      </c>
      <c r="R35" s="3">
        <f t="shared" si="17"/>
        <v>1326.6</v>
      </c>
      <c r="S35" s="3">
        <f t="shared" si="17"/>
        <v>1492.425</v>
      </c>
      <c r="T35" s="3">
        <f t="shared" si="17"/>
        <v>1658.25</v>
      </c>
      <c r="U35" s="3">
        <f t="shared" si="17"/>
        <v>1824.075</v>
      </c>
      <c r="V35" s="3">
        <f t="shared" si="17"/>
        <v>1989.8999999999999</v>
      </c>
      <c r="W35" s="3">
        <f t="shared" si="17"/>
        <v>2155.7249999999999</v>
      </c>
      <c r="X35" s="3">
        <f t="shared" si="17"/>
        <v>2321.5499999999997</v>
      </c>
      <c r="Y35" s="3">
        <f t="shared" si="17"/>
        <v>2487.375</v>
      </c>
      <c r="Z35" s="3">
        <f t="shared" si="17"/>
        <v>2653.2</v>
      </c>
      <c r="AA35" s="3">
        <f t="shared" si="17"/>
        <v>2819.0250000000001</v>
      </c>
      <c r="AB35" s="3">
        <f t="shared" si="17"/>
        <v>2984.85</v>
      </c>
      <c r="AC35" s="3">
        <f t="shared" si="17"/>
        <v>3150.6749999999997</v>
      </c>
      <c r="AD35" s="3">
        <f t="shared" si="17"/>
        <v>3316.5</v>
      </c>
      <c r="AE35" s="3">
        <f t="shared" si="17"/>
        <v>3482.3249999999998</v>
      </c>
      <c r="AF35" s="3">
        <f t="shared" si="17"/>
        <v>3648.15</v>
      </c>
      <c r="AG35" s="3">
        <f t="shared" si="17"/>
        <v>3979.7999999999997</v>
      </c>
    </row>
    <row r="36" spans="1:33" x14ac:dyDescent="0.25">
      <c r="A36" s="11">
        <v>0.45</v>
      </c>
      <c r="B36" s="17">
        <f t="shared" si="8"/>
        <v>1160.7749999999999</v>
      </c>
      <c r="C36" s="17">
        <f t="shared" si="9"/>
        <v>1326.6</v>
      </c>
      <c r="D36" s="17">
        <f t="shared" si="10"/>
        <v>1492.425</v>
      </c>
      <c r="E36" s="17">
        <f t="shared" si="11"/>
        <v>1658.25</v>
      </c>
      <c r="F36" s="17">
        <f t="shared" si="12"/>
        <v>1790.91</v>
      </c>
      <c r="G36" s="12"/>
      <c r="H36" s="11">
        <v>0.45</v>
      </c>
      <c r="I36" s="17">
        <f t="shared" si="18"/>
        <v>1160.7749999999999</v>
      </c>
      <c r="J36" s="17">
        <f t="shared" si="13"/>
        <v>1243.6875</v>
      </c>
      <c r="K36" s="17">
        <f t="shared" si="14"/>
        <v>1492.425</v>
      </c>
      <c r="L36" s="17">
        <f t="shared" si="15"/>
        <v>1724.5800000000002</v>
      </c>
      <c r="M36" s="17">
        <f t="shared" si="16"/>
        <v>1923.57</v>
      </c>
      <c r="O36" s="16" t="s">
        <v>150</v>
      </c>
      <c r="P36" s="3">
        <f t="shared" si="19"/>
        <v>1149.72</v>
      </c>
      <c r="Q36" s="3">
        <f t="shared" si="17"/>
        <v>1341.3400000000001</v>
      </c>
      <c r="R36" s="3">
        <f t="shared" si="17"/>
        <v>1532.9599999999998</v>
      </c>
      <c r="S36" s="3">
        <f t="shared" si="17"/>
        <v>1724.5800000000002</v>
      </c>
      <c r="T36" s="3">
        <f t="shared" si="17"/>
        <v>1916.2</v>
      </c>
      <c r="U36" s="3">
        <f t="shared" si="17"/>
        <v>2107.8199999999997</v>
      </c>
      <c r="V36" s="3">
        <f t="shared" si="17"/>
        <v>2299.44</v>
      </c>
      <c r="W36" s="3">
        <f t="shared" si="17"/>
        <v>2491.06</v>
      </c>
      <c r="X36" s="3">
        <f t="shared" si="17"/>
        <v>2682.6800000000003</v>
      </c>
      <c r="Y36" s="3">
        <f t="shared" si="17"/>
        <v>2874.3</v>
      </c>
      <c r="Z36" s="3">
        <f t="shared" si="17"/>
        <v>3065.9199999999996</v>
      </c>
      <c r="AA36" s="3">
        <f t="shared" si="17"/>
        <v>3257.54</v>
      </c>
      <c r="AB36" s="3">
        <f t="shared" si="17"/>
        <v>3449.1600000000003</v>
      </c>
      <c r="AC36" s="3">
        <f t="shared" si="17"/>
        <v>3640.7799999999997</v>
      </c>
      <c r="AD36" s="3">
        <f t="shared" si="17"/>
        <v>3832.4</v>
      </c>
      <c r="AE36" s="3">
        <f t="shared" si="17"/>
        <v>4024.02</v>
      </c>
      <c r="AF36" s="3">
        <f t="shared" si="17"/>
        <v>4215.6399999999994</v>
      </c>
      <c r="AG36" s="3">
        <f t="shared" si="17"/>
        <v>4598.88</v>
      </c>
    </row>
    <row r="37" spans="1:33" x14ac:dyDescent="0.25">
      <c r="A37" s="11">
        <v>0.5</v>
      </c>
      <c r="B37" s="17">
        <f t="shared" si="8"/>
        <v>1289.75</v>
      </c>
      <c r="C37" s="17">
        <f t="shared" si="9"/>
        <v>1473.9999999999998</v>
      </c>
      <c r="D37" s="17">
        <f t="shared" si="10"/>
        <v>1658.25</v>
      </c>
      <c r="E37" s="17">
        <f t="shared" si="11"/>
        <v>1842.5</v>
      </c>
      <c r="F37" s="17">
        <f t="shared" si="12"/>
        <v>1989.9</v>
      </c>
      <c r="G37" s="12"/>
      <c r="H37" s="11">
        <v>0.5</v>
      </c>
      <c r="I37" s="17">
        <f t="shared" si="18"/>
        <v>1289.75</v>
      </c>
      <c r="J37" s="17">
        <f t="shared" si="13"/>
        <v>1381.875</v>
      </c>
      <c r="K37" s="17">
        <f t="shared" si="14"/>
        <v>1658.25</v>
      </c>
      <c r="L37" s="17">
        <f t="shared" si="15"/>
        <v>1916.2</v>
      </c>
      <c r="M37" s="17">
        <f t="shared" si="16"/>
        <v>2137.2999999999997</v>
      </c>
      <c r="O37" s="16" t="s">
        <v>152</v>
      </c>
      <c r="P37" s="3">
        <f t="shared" si="19"/>
        <v>1282.3799999999999</v>
      </c>
      <c r="Q37" s="3">
        <f t="shared" si="17"/>
        <v>1496.11</v>
      </c>
      <c r="R37" s="3">
        <f t="shared" si="17"/>
        <v>1709.8399999999997</v>
      </c>
      <c r="S37" s="3">
        <f t="shared" si="17"/>
        <v>1923.57</v>
      </c>
      <c r="T37" s="3">
        <f t="shared" si="17"/>
        <v>2137.2999999999997</v>
      </c>
      <c r="U37" s="3">
        <f t="shared" si="17"/>
        <v>2351.0299999999997</v>
      </c>
      <c r="V37" s="3">
        <f t="shared" si="17"/>
        <v>2564.7599999999998</v>
      </c>
      <c r="W37" s="3">
        <f t="shared" si="17"/>
        <v>2778.49</v>
      </c>
      <c r="X37" s="3">
        <f t="shared" si="17"/>
        <v>2992.22</v>
      </c>
      <c r="Y37" s="3">
        <f t="shared" si="17"/>
        <v>3205.95</v>
      </c>
      <c r="Z37" s="3">
        <f t="shared" si="17"/>
        <v>3419.6799999999994</v>
      </c>
      <c r="AA37" s="3">
        <f t="shared" si="17"/>
        <v>3633.41</v>
      </c>
      <c r="AB37" s="3">
        <f t="shared" si="17"/>
        <v>3847.14</v>
      </c>
      <c r="AC37" s="3">
        <f t="shared" si="17"/>
        <v>4060.869999999999</v>
      </c>
      <c r="AD37" s="3">
        <f t="shared" si="17"/>
        <v>4274.5999999999995</v>
      </c>
      <c r="AE37" s="3">
        <f t="shared" si="17"/>
        <v>4488.33</v>
      </c>
      <c r="AF37" s="3">
        <f t="shared" si="17"/>
        <v>4702.0599999999995</v>
      </c>
      <c r="AG37" s="3">
        <f t="shared" si="17"/>
        <v>5129.5199999999995</v>
      </c>
    </row>
    <row r="38" spans="1:33" x14ac:dyDescent="0.25">
      <c r="A38" s="11">
        <v>0.55000000000000004</v>
      </c>
      <c r="B38" s="17">
        <f t="shared" si="8"/>
        <v>1418.7249999999999</v>
      </c>
      <c r="C38" s="17">
        <f t="shared" si="9"/>
        <v>1621.4</v>
      </c>
      <c r="D38" s="17">
        <f t="shared" si="10"/>
        <v>1824.075</v>
      </c>
      <c r="E38" s="17">
        <f t="shared" si="11"/>
        <v>2026.7499999999998</v>
      </c>
      <c r="F38" s="17">
        <f t="shared" si="12"/>
        <v>2188.89</v>
      </c>
      <c r="G38" s="12"/>
      <c r="H38" s="11">
        <v>0.55000000000000004</v>
      </c>
      <c r="I38" s="17">
        <f t="shared" si="18"/>
        <v>1418.7249999999999</v>
      </c>
      <c r="J38" s="17">
        <f t="shared" si="13"/>
        <v>1520.0625</v>
      </c>
      <c r="K38" s="17">
        <f t="shared" si="14"/>
        <v>1824.075</v>
      </c>
      <c r="L38" s="17">
        <f t="shared" si="15"/>
        <v>2107.8199999999997</v>
      </c>
      <c r="M38" s="17">
        <f t="shared" si="16"/>
        <v>2351.0299999999997</v>
      </c>
    </row>
    <row r="39" spans="1:33" x14ac:dyDescent="0.25">
      <c r="A39" s="11">
        <v>0.6</v>
      </c>
      <c r="B39" s="17">
        <f t="shared" si="8"/>
        <v>1547.6999999999996</v>
      </c>
      <c r="C39" s="17">
        <f t="shared" si="9"/>
        <v>1768.8</v>
      </c>
      <c r="D39" s="17">
        <f t="shared" si="10"/>
        <v>1989.8999999999999</v>
      </c>
      <c r="E39" s="17">
        <f t="shared" si="11"/>
        <v>2211</v>
      </c>
      <c r="F39" s="17">
        <f t="shared" si="12"/>
        <v>2387.88</v>
      </c>
      <c r="G39" s="12"/>
      <c r="H39" s="11">
        <v>0.6</v>
      </c>
      <c r="I39" s="17">
        <f t="shared" si="18"/>
        <v>1547.6999999999996</v>
      </c>
      <c r="J39" s="17">
        <f t="shared" si="13"/>
        <v>1658.25</v>
      </c>
      <c r="K39" s="17">
        <f t="shared" si="14"/>
        <v>1989.8999999999999</v>
      </c>
      <c r="L39" s="17">
        <f t="shared" si="15"/>
        <v>2299.44</v>
      </c>
      <c r="M39" s="17">
        <f t="shared" si="16"/>
        <v>2564.7599999999998</v>
      </c>
      <c r="O39" s="3" t="s">
        <v>495</v>
      </c>
      <c r="P39" s="3" t="s">
        <v>155</v>
      </c>
      <c r="Q39" s="3" t="s">
        <v>156</v>
      </c>
      <c r="R39" s="3" t="s">
        <v>157</v>
      </c>
    </row>
    <row r="40" spans="1:33" x14ac:dyDescent="0.25">
      <c r="A40" s="11">
        <v>0.65</v>
      </c>
      <c r="B40" s="17">
        <f t="shared" si="8"/>
        <v>1676.675</v>
      </c>
      <c r="C40" s="17">
        <f t="shared" si="9"/>
        <v>1916.1999999999998</v>
      </c>
      <c r="D40" s="17">
        <f t="shared" si="10"/>
        <v>2155.7249999999999</v>
      </c>
      <c r="E40" s="17">
        <f t="shared" si="11"/>
        <v>2395.25</v>
      </c>
      <c r="F40" s="17">
        <f t="shared" si="12"/>
        <v>2586.8700000000003</v>
      </c>
      <c r="G40" s="12"/>
      <c r="H40" s="11">
        <v>0.65</v>
      </c>
      <c r="I40" s="17">
        <f t="shared" si="18"/>
        <v>1676.675</v>
      </c>
      <c r="J40" s="17">
        <f t="shared" si="13"/>
        <v>1796.4375</v>
      </c>
      <c r="K40" s="17">
        <f t="shared" si="14"/>
        <v>2155.7249999999999</v>
      </c>
      <c r="L40" s="17">
        <f t="shared" si="15"/>
        <v>2491.06</v>
      </c>
      <c r="M40" s="17">
        <f t="shared" si="16"/>
        <v>2778.49</v>
      </c>
      <c r="O40" s="16" t="s">
        <v>146</v>
      </c>
      <c r="P40" s="46">
        <f>SUM($B$63:$B$65)</f>
        <v>169</v>
      </c>
      <c r="Q40" s="46">
        <v>99</v>
      </c>
      <c r="R40" s="46">
        <f>SUM(P40:Q40)</f>
        <v>268</v>
      </c>
    </row>
    <row r="41" spans="1:33" x14ac:dyDescent="0.25">
      <c r="A41" s="11">
        <v>0.7</v>
      </c>
      <c r="B41" s="17">
        <f t="shared" si="8"/>
        <v>1805.6499999999999</v>
      </c>
      <c r="C41" s="17">
        <f t="shared" si="9"/>
        <v>2063.6</v>
      </c>
      <c r="D41" s="17">
        <f t="shared" si="10"/>
        <v>2321.5499999999997</v>
      </c>
      <c r="E41" s="17">
        <f t="shared" si="11"/>
        <v>2579.5</v>
      </c>
      <c r="F41" s="17">
        <f t="shared" si="12"/>
        <v>2785.86</v>
      </c>
      <c r="G41" s="12"/>
      <c r="H41" s="11">
        <v>0.7</v>
      </c>
      <c r="I41" s="17">
        <f t="shared" si="18"/>
        <v>1805.6499999999999</v>
      </c>
      <c r="J41" s="17">
        <f t="shared" si="13"/>
        <v>1934.625</v>
      </c>
      <c r="K41" s="17">
        <f t="shared" si="14"/>
        <v>2321.5499999999997</v>
      </c>
      <c r="L41" s="17">
        <f t="shared" si="15"/>
        <v>2682.6800000000003</v>
      </c>
      <c r="M41" s="17">
        <f t="shared" si="16"/>
        <v>2992.22</v>
      </c>
      <c r="O41" s="16" t="s">
        <v>148</v>
      </c>
      <c r="P41" s="46">
        <f>SUM(C63:C65)</f>
        <v>201</v>
      </c>
      <c r="Q41" s="46">
        <v>99</v>
      </c>
      <c r="R41" s="46">
        <f t="shared" ref="R41:R44" si="20">SUM(P41:Q41)</f>
        <v>300</v>
      </c>
    </row>
    <row r="42" spans="1:33" x14ac:dyDescent="0.25">
      <c r="A42" s="11">
        <v>0.75</v>
      </c>
      <c r="B42" s="17">
        <f t="shared" si="8"/>
        <v>1934.625</v>
      </c>
      <c r="C42" s="17">
        <f t="shared" si="9"/>
        <v>2211</v>
      </c>
      <c r="D42" s="17">
        <f t="shared" si="10"/>
        <v>2487.375</v>
      </c>
      <c r="E42" s="17">
        <f t="shared" si="11"/>
        <v>2763.75</v>
      </c>
      <c r="F42" s="17">
        <f t="shared" si="12"/>
        <v>2984.8500000000004</v>
      </c>
      <c r="G42" s="12"/>
      <c r="H42" s="11">
        <v>0.75</v>
      </c>
      <c r="I42" s="17">
        <f t="shared" si="18"/>
        <v>1934.625</v>
      </c>
      <c r="J42" s="17">
        <f t="shared" si="13"/>
        <v>2072.8125</v>
      </c>
      <c r="K42" s="17">
        <f t="shared" si="14"/>
        <v>2487.375</v>
      </c>
      <c r="L42" s="17">
        <f t="shared" si="15"/>
        <v>2874.3</v>
      </c>
      <c r="M42" s="17">
        <f t="shared" si="16"/>
        <v>3205.95</v>
      </c>
      <c r="O42" s="16" t="s">
        <v>149</v>
      </c>
      <c r="P42" s="46">
        <f>SUM(D63:D65)</f>
        <v>247</v>
      </c>
      <c r="Q42" s="46">
        <v>99</v>
      </c>
      <c r="R42" s="46">
        <f t="shared" si="20"/>
        <v>346</v>
      </c>
    </row>
    <row r="43" spans="1:33" x14ac:dyDescent="0.25">
      <c r="A43" s="11">
        <v>0.8</v>
      </c>
      <c r="B43" s="17">
        <f t="shared" si="8"/>
        <v>2063.6</v>
      </c>
      <c r="C43" s="17">
        <f t="shared" si="9"/>
        <v>2358.3999999999996</v>
      </c>
      <c r="D43" s="17">
        <f t="shared" si="10"/>
        <v>2653.2</v>
      </c>
      <c r="E43" s="17">
        <f t="shared" si="11"/>
        <v>2947.9999999999995</v>
      </c>
      <c r="F43" s="17">
        <f t="shared" si="12"/>
        <v>3183.8399999999997</v>
      </c>
      <c r="G43" s="12"/>
      <c r="H43" s="11">
        <v>0.8</v>
      </c>
      <c r="I43" s="17">
        <f t="shared" si="18"/>
        <v>2063.6</v>
      </c>
      <c r="J43" s="17">
        <f t="shared" si="13"/>
        <v>2211</v>
      </c>
      <c r="K43" s="17">
        <f t="shared" si="14"/>
        <v>2653.2</v>
      </c>
      <c r="L43" s="17">
        <f t="shared" si="15"/>
        <v>3065.9199999999996</v>
      </c>
      <c r="M43" s="17">
        <f t="shared" si="16"/>
        <v>3419.6799999999994</v>
      </c>
      <c r="O43" s="16" t="s">
        <v>150</v>
      </c>
      <c r="P43" s="46">
        <f>SUM(E63:E65)</f>
        <v>303</v>
      </c>
      <c r="Q43" s="46">
        <v>99</v>
      </c>
      <c r="R43" s="46">
        <f t="shared" si="20"/>
        <v>402</v>
      </c>
    </row>
    <row r="44" spans="1:33" x14ac:dyDescent="0.25">
      <c r="A44" s="11">
        <v>0.85</v>
      </c>
      <c r="B44" s="17">
        <f t="shared" si="8"/>
        <v>2192.5749999999998</v>
      </c>
      <c r="C44" s="17">
        <f t="shared" si="9"/>
        <v>2505.7999999999997</v>
      </c>
      <c r="D44" s="17">
        <f t="shared" si="10"/>
        <v>2819.0250000000001</v>
      </c>
      <c r="E44" s="17">
        <f t="shared" si="11"/>
        <v>3132.25</v>
      </c>
      <c r="F44" s="17">
        <f t="shared" si="12"/>
        <v>3382.8300000000004</v>
      </c>
      <c r="G44" s="12"/>
      <c r="H44" s="11">
        <v>0.85</v>
      </c>
      <c r="I44" s="17">
        <f t="shared" si="18"/>
        <v>2192.5749999999998</v>
      </c>
      <c r="J44" s="17">
        <f t="shared" si="13"/>
        <v>2349.1875</v>
      </c>
      <c r="K44" s="17">
        <f t="shared" si="14"/>
        <v>2819.0250000000001</v>
      </c>
      <c r="L44" s="17">
        <f t="shared" si="15"/>
        <v>3257.54</v>
      </c>
      <c r="M44" s="17">
        <f t="shared" si="16"/>
        <v>3633.41</v>
      </c>
      <c r="O44" s="16" t="s">
        <v>152</v>
      </c>
      <c r="P44" s="46">
        <f>SUM(F63:F65)</f>
        <v>357</v>
      </c>
      <c r="Q44" s="46">
        <v>99</v>
      </c>
      <c r="R44" s="46">
        <f t="shared" si="20"/>
        <v>456</v>
      </c>
    </row>
    <row r="45" spans="1:33" x14ac:dyDescent="0.25">
      <c r="A45" s="11">
        <v>0.9</v>
      </c>
      <c r="B45" s="17">
        <f t="shared" si="8"/>
        <v>2321.5499999999997</v>
      </c>
      <c r="C45" s="17">
        <f t="shared" si="9"/>
        <v>2653.2</v>
      </c>
      <c r="D45" s="17">
        <f t="shared" si="10"/>
        <v>2984.85</v>
      </c>
      <c r="E45" s="17">
        <f t="shared" si="11"/>
        <v>3316.5</v>
      </c>
      <c r="F45" s="17">
        <f t="shared" si="12"/>
        <v>3581.82</v>
      </c>
      <c r="G45" s="12"/>
      <c r="H45" s="11">
        <v>0.9</v>
      </c>
      <c r="I45" s="17">
        <f t="shared" si="18"/>
        <v>2321.5499999999997</v>
      </c>
      <c r="J45" s="17">
        <f t="shared" si="13"/>
        <v>2487.375</v>
      </c>
      <c r="K45" s="17">
        <f t="shared" si="14"/>
        <v>2984.85</v>
      </c>
      <c r="L45" s="17">
        <f t="shared" si="15"/>
        <v>3449.1600000000003</v>
      </c>
      <c r="M45" s="17">
        <f t="shared" si="16"/>
        <v>3847.14</v>
      </c>
    </row>
    <row r="46" spans="1:33" x14ac:dyDescent="0.25">
      <c r="A46" s="11">
        <v>0.95</v>
      </c>
      <c r="B46" s="17">
        <f t="shared" si="8"/>
        <v>2450.5250000000001</v>
      </c>
      <c r="C46" s="17">
        <f t="shared" si="9"/>
        <v>2800.6</v>
      </c>
      <c r="D46" s="17">
        <f t="shared" si="10"/>
        <v>3150.6749999999997</v>
      </c>
      <c r="E46" s="17">
        <f t="shared" si="11"/>
        <v>3500.7499999999995</v>
      </c>
      <c r="F46" s="17">
        <f t="shared" si="12"/>
        <v>3780.81</v>
      </c>
      <c r="G46" s="12"/>
      <c r="H46" s="11">
        <v>0.95</v>
      </c>
      <c r="I46" s="17">
        <f t="shared" si="18"/>
        <v>2450.5250000000001</v>
      </c>
      <c r="J46" s="17">
        <f t="shared" si="13"/>
        <v>2625.5625</v>
      </c>
      <c r="K46" s="17">
        <f t="shared" si="14"/>
        <v>3150.6749999999997</v>
      </c>
      <c r="L46" s="17">
        <f t="shared" si="15"/>
        <v>3640.7799999999997</v>
      </c>
      <c r="M46" s="17">
        <f t="shared" si="16"/>
        <v>4060.869999999999</v>
      </c>
    </row>
    <row r="47" spans="1:33" x14ac:dyDescent="0.25">
      <c r="A47" s="11">
        <v>1</v>
      </c>
      <c r="B47" s="17">
        <f t="shared" si="8"/>
        <v>2579.5</v>
      </c>
      <c r="C47" s="17">
        <f t="shared" si="9"/>
        <v>2947.9999999999995</v>
      </c>
      <c r="D47" s="17">
        <f t="shared" si="10"/>
        <v>3316.5</v>
      </c>
      <c r="E47" s="17">
        <f t="shared" si="11"/>
        <v>3685</v>
      </c>
      <c r="F47" s="17">
        <f t="shared" si="12"/>
        <v>3979.8</v>
      </c>
      <c r="G47" s="12"/>
      <c r="H47" s="11">
        <v>1</v>
      </c>
      <c r="I47" s="17">
        <f t="shared" si="18"/>
        <v>2579.5</v>
      </c>
      <c r="J47" s="17">
        <f t="shared" si="13"/>
        <v>2763.75</v>
      </c>
      <c r="K47" s="17">
        <f t="shared" si="14"/>
        <v>3316.5</v>
      </c>
      <c r="L47" s="17">
        <f t="shared" si="15"/>
        <v>3832.4</v>
      </c>
      <c r="M47" s="17">
        <f t="shared" si="16"/>
        <v>4274.5999999999995</v>
      </c>
    </row>
    <row r="48" spans="1:33" x14ac:dyDescent="0.25">
      <c r="A48" s="11">
        <v>1.05</v>
      </c>
      <c r="B48" s="17">
        <f t="shared" si="8"/>
        <v>2708.4749999999999</v>
      </c>
      <c r="C48" s="17">
        <f t="shared" si="9"/>
        <v>3095.4</v>
      </c>
      <c r="D48" s="17">
        <f t="shared" si="10"/>
        <v>3482.3249999999998</v>
      </c>
      <c r="E48" s="17">
        <f t="shared" si="11"/>
        <v>3869.25</v>
      </c>
      <c r="F48" s="17">
        <f t="shared" si="12"/>
        <v>4178.79</v>
      </c>
      <c r="G48" s="12"/>
      <c r="H48" s="11">
        <v>1.05</v>
      </c>
      <c r="I48" s="17">
        <f t="shared" si="18"/>
        <v>2708.4749999999999</v>
      </c>
      <c r="J48" s="17">
        <f t="shared" si="13"/>
        <v>2901.9375</v>
      </c>
      <c r="K48" s="17">
        <f t="shared" si="14"/>
        <v>3482.3249999999998</v>
      </c>
      <c r="L48" s="17">
        <f t="shared" si="15"/>
        <v>4024.02</v>
      </c>
      <c r="M48" s="17">
        <f t="shared" si="16"/>
        <v>4488.33</v>
      </c>
    </row>
    <row r="49" spans="1:13" x14ac:dyDescent="0.25">
      <c r="A49" s="11">
        <v>1.1000000000000001</v>
      </c>
      <c r="B49" s="17">
        <f t="shared" si="8"/>
        <v>2837.45</v>
      </c>
      <c r="C49" s="17">
        <f t="shared" si="9"/>
        <v>3242.8</v>
      </c>
      <c r="D49" s="17">
        <f t="shared" si="10"/>
        <v>3648.15</v>
      </c>
      <c r="E49" s="17">
        <f t="shared" si="11"/>
        <v>4053.4999999999995</v>
      </c>
      <c r="F49" s="17">
        <f t="shared" si="12"/>
        <v>4377.78</v>
      </c>
      <c r="G49" s="12"/>
      <c r="H49" s="11">
        <v>1.1000000000000001</v>
      </c>
      <c r="I49" s="17">
        <f t="shared" si="18"/>
        <v>2837.45</v>
      </c>
      <c r="J49" s="17">
        <f t="shared" si="13"/>
        <v>3040.125</v>
      </c>
      <c r="K49" s="17">
        <f t="shared" si="14"/>
        <v>3648.15</v>
      </c>
      <c r="L49" s="17">
        <f t="shared" si="15"/>
        <v>4215.6399999999994</v>
      </c>
      <c r="M49" s="17">
        <f t="shared" si="16"/>
        <v>4702.0599999999995</v>
      </c>
    </row>
    <row r="50" spans="1:13" x14ac:dyDescent="0.25">
      <c r="A50" s="11">
        <v>1.2</v>
      </c>
      <c r="B50" s="17">
        <f t="shared" si="8"/>
        <v>3095.3999999999992</v>
      </c>
      <c r="C50" s="17">
        <f t="shared" si="9"/>
        <v>3537.6</v>
      </c>
      <c r="D50" s="17">
        <f t="shared" si="10"/>
        <v>3979.7999999999997</v>
      </c>
      <c r="E50" s="17">
        <f t="shared" si="11"/>
        <v>4422</v>
      </c>
      <c r="F50" s="17">
        <f t="shared" si="12"/>
        <v>4775.76</v>
      </c>
      <c r="G50" s="12"/>
      <c r="H50" s="11">
        <v>1.2</v>
      </c>
      <c r="I50" s="17">
        <f t="shared" si="18"/>
        <v>3095.3999999999992</v>
      </c>
      <c r="J50" s="17">
        <f t="shared" si="13"/>
        <v>3316.5</v>
      </c>
      <c r="K50" s="17">
        <f t="shared" si="14"/>
        <v>3979.7999999999997</v>
      </c>
      <c r="L50" s="17">
        <f t="shared" si="15"/>
        <v>4598.88</v>
      </c>
      <c r="M50" s="17">
        <f t="shared" si="16"/>
        <v>5129.5199999999995</v>
      </c>
    </row>
    <row r="51" spans="1:13" x14ac:dyDescent="0.25">
      <c r="A51" s="11"/>
      <c r="B51" s="17"/>
      <c r="C51" s="17"/>
      <c r="D51" s="17"/>
      <c r="E51" s="17"/>
      <c r="F51" s="17"/>
      <c r="G51" s="12"/>
      <c r="H51" s="11">
        <v>1.5</v>
      </c>
      <c r="I51" s="17">
        <f t="shared" si="18"/>
        <v>3869.25</v>
      </c>
      <c r="J51" s="17">
        <f t="shared" si="13"/>
        <v>4145.625</v>
      </c>
      <c r="K51" s="17">
        <f t="shared" si="14"/>
        <v>4974.75</v>
      </c>
      <c r="L51" s="17">
        <f t="shared" si="15"/>
        <v>5748.6</v>
      </c>
      <c r="M51" s="17">
        <f t="shared" si="16"/>
        <v>6411.9</v>
      </c>
    </row>
    <row r="52" spans="1:13" x14ac:dyDescent="0.25">
      <c r="A52" s="11"/>
      <c r="B52" s="17"/>
      <c r="C52" s="17"/>
      <c r="D52" s="17"/>
      <c r="E52" s="17"/>
      <c r="F52" s="17"/>
      <c r="G52" s="12"/>
      <c r="H52" s="11">
        <v>2</v>
      </c>
      <c r="I52" s="17">
        <f t="shared" si="18"/>
        <v>5159</v>
      </c>
      <c r="J52" s="17">
        <f t="shared" si="13"/>
        <v>5527.5</v>
      </c>
      <c r="K52" s="17">
        <f t="shared" si="14"/>
        <v>6633</v>
      </c>
      <c r="L52" s="17">
        <f t="shared" si="15"/>
        <v>7664.8</v>
      </c>
      <c r="M52" s="17">
        <f t="shared" si="16"/>
        <v>8549.1999999999989</v>
      </c>
    </row>
    <row r="53" spans="1:13" x14ac:dyDescent="0.25">
      <c r="A53" s="11"/>
      <c r="B53" s="17"/>
      <c r="C53" s="17"/>
      <c r="D53" s="17"/>
      <c r="E53" s="17"/>
      <c r="F53" s="17"/>
      <c r="G53" s="12"/>
      <c r="H53" s="11">
        <v>2.5</v>
      </c>
      <c r="I53" s="17">
        <f t="shared" si="18"/>
        <v>6448.7499999999991</v>
      </c>
      <c r="J53" s="17">
        <f t="shared" si="13"/>
        <v>6909.375</v>
      </c>
      <c r="K53" s="17">
        <f t="shared" si="14"/>
        <v>8291.25</v>
      </c>
      <c r="L53" s="17">
        <f t="shared" si="15"/>
        <v>9581</v>
      </c>
      <c r="M53" s="17">
        <f t="shared" si="16"/>
        <v>10686.5</v>
      </c>
    </row>
    <row r="55" spans="1:13" ht="14.25" customHeight="1" x14ac:dyDescent="0.25">
      <c r="A55" s="623" t="s">
        <v>496</v>
      </c>
      <c r="B55" s="624"/>
      <c r="C55" s="624"/>
      <c r="D55" s="624"/>
      <c r="E55" s="624"/>
      <c r="F55" s="624"/>
      <c r="G55" s="625"/>
      <c r="I55" s="18" t="s">
        <v>484</v>
      </c>
      <c r="J55" s="18" t="s">
        <v>497</v>
      </c>
      <c r="K55" s="18" t="s">
        <v>486</v>
      </c>
      <c r="L55" s="18" t="s">
        <v>498</v>
      </c>
      <c r="M55" s="18" t="s">
        <v>489</v>
      </c>
    </row>
    <row r="56" spans="1:13" x14ac:dyDescent="0.25">
      <c r="A56" s="626"/>
      <c r="B56" s="627"/>
      <c r="C56" s="627"/>
      <c r="D56" s="627"/>
      <c r="E56" s="627"/>
      <c r="F56" s="627"/>
      <c r="G56" s="628"/>
      <c r="I56" s="18">
        <v>0.7</v>
      </c>
      <c r="J56" s="18">
        <v>0.75</v>
      </c>
      <c r="K56" s="18">
        <v>0.9</v>
      </c>
      <c r="L56" s="18">
        <v>1.04</v>
      </c>
      <c r="M56" s="18">
        <v>1.1599999999999999</v>
      </c>
    </row>
    <row r="57" spans="1:13" x14ac:dyDescent="0.25">
      <c r="A57" s="626"/>
      <c r="B57" s="627"/>
      <c r="C57" s="627"/>
      <c r="D57" s="627"/>
      <c r="E57" s="627"/>
      <c r="F57" s="627"/>
      <c r="G57" s="628"/>
    </row>
    <row r="58" spans="1:13" x14ac:dyDescent="0.25">
      <c r="A58" s="629"/>
      <c r="B58" s="630"/>
      <c r="C58" s="630"/>
      <c r="D58" s="630"/>
      <c r="E58" s="630"/>
      <c r="F58" s="630"/>
      <c r="G58" s="631"/>
    </row>
    <row r="60" spans="1:13" x14ac:dyDescent="0.25">
      <c r="A60" s="632" t="s">
        <v>499</v>
      </c>
      <c r="B60" s="632"/>
      <c r="C60" s="632"/>
      <c r="D60" s="632"/>
      <c r="E60" s="632"/>
      <c r="F60" s="632"/>
    </row>
    <row r="61" spans="1:13" x14ac:dyDescent="0.25">
      <c r="A61" s="6" t="s">
        <v>474</v>
      </c>
      <c r="B61" s="6"/>
      <c r="C61" s="6"/>
      <c r="D61" s="6"/>
      <c r="E61" s="6"/>
      <c r="F61" s="6"/>
      <c r="H61" s="20"/>
    </row>
    <row r="62" spans="1:13" x14ac:dyDescent="0.25">
      <c r="A62" s="21" t="s">
        <v>500</v>
      </c>
      <c r="B62" s="22" t="s">
        <v>146</v>
      </c>
      <c r="C62" s="22" t="s">
        <v>148</v>
      </c>
      <c r="D62" s="22" t="s">
        <v>149</v>
      </c>
      <c r="E62" s="22" t="s">
        <v>150</v>
      </c>
      <c r="F62" s="22" t="s">
        <v>152</v>
      </c>
      <c r="H62" s="620" t="s">
        <v>501</v>
      </c>
      <c r="I62" s="621"/>
      <c r="J62" s="620" t="s">
        <v>502</v>
      </c>
      <c r="K62" s="621"/>
    </row>
    <row r="63" spans="1:13" x14ac:dyDescent="0.25">
      <c r="A63" s="23" t="s">
        <v>503</v>
      </c>
      <c r="B63" s="24">
        <f>ROUND(B69*$K$63/$I$63,0)</f>
        <v>64</v>
      </c>
      <c r="C63" s="24">
        <f>ROUND(C69*$K$63/$I$63,0)</f>
        <v>96</v>
      </c>
      <c r="D63" s="24">
        <f>ROUND(D69*$K$63/$I$63,0)</f>
        <v>128</v>
      </c>
      <c r="E63" s="24">
        <f>ROUND(E69*$K$63/$I$63,0)</f>
        <v>160</v>
      </c>
      <c r="F63" s="24">
        <f>ROUND(F69*$K$63/$I$63,0)</f>
        <v>191</v>
      </c>
      <c r="H63" s="19" t="s">
        <v>504</v>
      </c>
      <c r="I63" s="25">
        <v>129.4</v>
      </c>
      <c r="J63" s="26">
        <v>45261</v>
      </c>
      <c r="K63" s="25">
        <v>412.90199999999999</v>
      </c>
      <c r="L63" s="27" t="s">
        <v>505</v>
      </c>
    </row>
    <row r="64" spans="1:13" x14ac:dyDescent="0.25">
      <c r="A64" s="23" t="s">
        <v>506</v>
      </c>
      <c r="B64" s="28">
        <f>ROUND(B70*$K$64/$I$64,0)</f>
        <v>90</v>
      </c>
      <c r="C64" s="28">
        <f>ROUND(C70*$K$64/$I$64,0)</f>
        <v>90</v>
      </c>
      <c r="D64" s="28">
        <f>ROUND(D70*$K$64/$I$64,0)</f>
        <v>104</v>
      </c>
      <c r="E64" s="28">
        <f>ROUND(E70*$K$64/$I$64,0)</f>
        <v>128</v>
      </c>
      <c r="F64" s="28">
        <f>ROUND(F70*$K$64/$I$64,0)</f>
        <v>151</v>
      </c>
      <c r="H64" s="26">
        <v>43435</v>
      </c>
      <c r="I64" s="25">
        <v>321.61799999999999</v>
      </c>
      <c r="J64" s="26">
        <v>45261</v>
      </c>
      <c r="K64" s="25">
        <v>412.90199999999999</v>
      </c>
      <c r="L64" s="27" t="s">
        <v>507</v>
      </c>
    </row>
    <row r="65" spans="1:12" ht="27.6" x14ac:dyDescent="0.25">
      <c r="A65" s="7" t="s">
        <v>508</v>
      </c>
      <c r="B65" s="28">
        <f>ROUND(B71*$K$65/$I$65,0)</f>
        <v>15</v>
      </c>
      <c r="C65" s="28">
        <f>ROUND(C71*$K$65/$I$65,0)</f>
        <v>15</v>
      </c>
      <c r="D65" s="28">
        <f>ROUND(D71*$K$65/$I$65,0)</f>
        <v>15</v>
      </c>
      <c r="E65" s="28">
        <f>ROUND(E71*$K$65/$I$65,0)</f>
        <v>15</v>
      </c>
      <c r="F65" s="28">
        <f>ROUND(F71*$K$65/$I$65,0)</f>
        <v>15</v>
      </c>
      <c r="H65" s="19" t="s">
        <v>509</v>
      </c>
      <c r="I65" s="25">
        <v>271.089</v>
      </c>
      <c r="J65" s="19" t="s">
        <v>510</v>
      </c>
      <c r="K65" s="25">
        <v>340.84500000000003</v>
      </c>
      <c r="L65" s="27" t="s">
        <v>511</v>
      </c>
    </row>
    <row r="66" spans="1:12" ht="27.6" x14ac:dyDescent="0.25">
      <c r="A66" s="23" t="s">
        <v>512</v>
      </c>
      <c r="B66" s="29" t="s">
        <v>513</v>
      </c>
      <c r="C66" s="29" t="s">
        <v>513</v>
      </c>
      <c r="D66" s="29" t="s">
        <v>513</v>
      </c>
      <c r="E66" s="29" t="s">
        <v>513</v>
      </c>
      <c r="F66" s="29" t="s">
        <v>513</v>
      </c>
      <c r="H66" s="20"/>
    </row>
    <row r="67" spans="1:12" x14ac:dyDescent="0.25">
      <c r="A67" s="23" t="s">
        <v>514</v>
      </c>
      <c r="B67" s="29" t="s">
        <v>513</v>
      </c>
      <c r="C67" s="29" t="s">
        <v>513</v>
      </c>
      <c r="D67" s="29" t="s">
        <v>513</v>
      </c>
      <c r="E67" s="29" t="s">
        <v>513</v>
      </c>
      <c r="F67" s="29" t="s">
        <v>513</v>
      </c>
    </row>
    <row r="68" spans="1:12" x14ac:dyDescent="0.25">
      <c r="A68" s="23" t="s">
        <v>515</v>
      </c>
      <c r="B68" s="29" t="s">
        <v>513</v>
      </c>
      <c r="C68" s="29" t="s">
        <v>513</v>
      </c>
      <c r="D68" s="29" t="s">
        <v>513</v>
      </c>
      <c r="E68" s="29" t="s">
        <v>513</v>
      </c>
      <c r="F68" s="29" t="s">
        <v>513</v>
      </c>
    </row>
    <row r="69" spans="1:12" ht="41.4" x14ac:dyDescent="0.25">
      <c r="A69" s="30" t="s">
        <v>516</v>
      </c>
      <c r="B69" s="31">
        <v>20</v>
      </c>
      <c r="C69" s="31">
        <v>30</v>
      </c>
      <c r="D69" s="31">
        <v>40</v>
      </c>
      <c r="E69" s="31">
        <v>50</v>
      </c>
      <c r="F69" s="31">
        <v>60</v>
      </c>
      <c r="L69" s="32"/>
    </row>
    <row r="70" spans="1:12" ht="27.6" x14ac:dyDescent="0.25">
      <c r="A70" s="30" t="s">
        <v>517</v>
      </c>
      <c r="B70" s="31">
        <v>70</v>
      </c>
      <c r="C70" s="31">
        <v>70</v>
      </c>
      <c r="D70" s="31">
        <v>81</v>
      </c>
      <c r="E70" s="31">
        <v>100</v>
      </c>
      <c r="F70" s="31">
        <v>118</v>
      </c>
      <c r="L70" s="32"/>
    </row>
    <row r="71" spans="1:12" ht="41.4" x14ac:dyDescent="0.25">
      <c r="A71" s="33" t="s">
        <v>518</v>
      </c>
      <c r="B71" s="34">
        <v>12</v>
      </c>
      <c r="C71" s="34">
        <v>12</v>
      </c>
      <c r="D71" s="34">
        <v>12</v>
      </c>
      <c r="E71" s="34">
        <v>12</v>
      </c>
      <c r="F71" s="34">
        <v>12</v>
      </c>
    </row>
    <row r="72" spans="1:12" x14ac:dyDescent="0.25">
      <c r="A72" s="23"/>
      <c r="B72" s="35"/>
      <c r="C72" s="35"/>
      <c r="D72" s="35"/>
      <c r="E72" s="35"/>
      <c r="F72" s="35"/>
    </row>
    <row r="73" spans="1:12" x14ac:dyDescent="0.25">
      <c r="A73" s="36" t="s">
        <v>519</v>
      </c>
      <c r="B73" s="37">
        <v>57</v>
      </c>
      <c r="C73" s="37">
        <v>57</v>
      </c>
      <c r="D73" s="37">
        <v>73</v>
      </c>
      <c r="E73" s="37">
        <v>90</v>
      </c>
      <c r="F73" s="37">
        <v>115</v>
      </c>
    </row>
    <row r="75" spans="1:12" x14ac:dyDescent="0.25">
      <c r="A75" s="3" t="s">
        <v>520</v>
      </c>
    </row>
    <row r="78" spans="1:12" x14ac:dyDescent="0.25">
      <c r="A78" s="3" t="s">
        <v>521</v>
      </c>
    </row>
    <row r="79" spans="1:12" x14ac:dyDescent="0.25">
      <c r="H79" s="38" t="s">
        <v>522</v>
      </c>
      <c r="I79" s="38"/>
      <c r="J79" s="38"/>
      <c r="K79" s="38"/>
    </row>
    <row r="80" spans="1:12" x14ac:dyDescent="0.25">
      <c r="A80" s="38" t="s">
        <v>500</v>
      </c>
      <c r="B80" s="39" t="s">
        <v>146</v>
      </c>
      <c r="C80" s="39" t="s">
        <v>148</v>
      </c>
      <c r="D80" s="39" t="s">
        <v>149</v>
      </c>
      <c r="E80" s="39" t="s">
        <v>150</v>
      </c>
      <c r="F80" s="39" t="s">
        <v>152</v>
      </c>
      <c r="G80" s="38"/>
      <c r="H80" s="38" t="s">
        <v>523</v>
      </c>
      <c r="I80" s="38"/>
      <c r="J80" s="38"/>
      <c r="K80" s="40">
        <v>97.6</v>
      </c>
    </row>
    <row r="81" spans="1:11" x14ac:dyDescent="0.25">
      <c r="A81" s="30" t="s">
        <v>503</v>
      </c>
      <c r="B81" s="41">
        <f>B82*$K81/$K80</f>
        <v>53.006967213114756</v>
      </c>
      <c r="C81" s="41">
        <f>C82*$K81/$K80</f>
        <v>79.51045081967213</v>
      </c>
      <c r="D81" s="41">
        <f>D82*$K81/$K80</f>
        <v>106.01393442622951</v>
      </c>
      <c r="E81" s="41">
        <f>E82*$K81/$K80</f>
        <v>132.51741803278688</v>
      </c>
      <c r="F81" s="41">
        <f>F82*$K81/$K80</f>
        <v>159.02090163934426</v>
      </c>
      <c r="G81" s="38"/>
      <c r="H81" s="38" t="s">
        <v>524</v>
      </c>
      <c r="I81" s="38"/>
      <c r="J81" s="38"/>
      <c r="K81" s="42">
        <v>258.67399999999998</v>
      </c>
    </row>
    <row r="82" spans="1:11" ht="41.4" x14ac:dyDescent="0.25">
      <c r="A82" s="30" t="s">
        <v>516</v>
      </c>
      <c r="B82" s="43">
        <v>20</v>
      </c>
      <c r="C82" s="43">
        <v>30</v>
      </c>
      <c r="D82" s="43">
        <v>40</v>
      </c>
      <c r="E82" s="43">
        <v>50</v>
      </c>
      <c r="F82" s="43">
        <v>60</v>
      </c>
      <c r="G82" s="38"/>
    </row>
    <row r="83" spans="1:11" x14ac:dyDescent="0.25">
      <c r="D83" s="44"/>
      <c r="G83" s="38"/>
      <c r="H83" s="38"/>
      <c r="I83" s="38"/>
      <c r="J83" s="38"/>
      <c r="K83" s="38"/>
    </row>
    <row r="84" spans="1:11" x14ac:dyDescent="0.25">
      <c r="D84" s="45"/>
    </row>
  </sheetData>
  <mergeCells count="7">
    <mergeCell ref="H62:I62"/>
    <mergeCell ref="J62:K62"/>
    <mergeCell ref="A5:F5"/>
    <mergeCell ref="A30:F30"/>
    <mergeCell ref="H30:M30"/>
    <mergeCell ref="A55:G58"/>
    <mergeCell ref="A60:F60"/>
  </mergeCells>
  <pageMargins left="0.7" right="0.7" top="0.75" bottom="0.75" header="0.3" footer="0.3"/>
  <pageSetup scale="48" orientation="portrait" r:id="rId1"/>
  <legacyDrawing r:id="rId2"/>
  <tableParts count="3">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3FB6-8880-40A9-A273-E8B974DAA1B3}">
  <sheetPr codeName="Sheet20">
    <tabColor theme="0" tint="-0.499984740745262"/>
  </sheetPr>
  <dimension ref="B2:M18"/>
  <sheetViews>
    <sheetView workbookViewId="0">
      <selection activeCell="K5" sqref="K5"/>
    </sheetView>
  </sheetViews>
  <sheetFormatPr defaultColWidth="8.69921875" defaultRowHeight="13.8" x14ac:dyDescent="0.25"/>
  <cols>
    <col min="1" max="1" width="8.69921875" style="133"/>
    <col min="2" max="2" width="21.69921875" style="133" customWidth="1"/>
    <col min="3" max="6" width="9.69921875" style="133" customWidth="1"/>
    <col min="7" max="7" width="8.69921875" style="133"/>
    <col min="8" max="8" width="16.3984375" style="133" bestFit="1" customWidth="1"/>
    <col min="9" max="9" width="11.59765625" style="133" bestFit="1" customWidth="1"/>
    <col min="10" max="10" width="17.69921875" style="133" bestFit="1" customWidth="1"/>
    <col min="11" max="11" width="17.69921875" style="133" customWidth="1"/>
    <col min="12" max="12" width="18" style="133" bestFit="1" customWidth="1"/>
    <col min="13" max="13" width="22.59765625" style="133" bestFit="1" customWidth="1"/>
    <col min="14" max="16384" width="8.69921875" style="133"/>
  </cols>
  <sheetData>
    <row r="2" spans="2:13" x14ac:dyDescent="0.25">
      <c r="C2" s="633" t="s">
        <v>544</v>
      </c>
      <c r="D2" s="633"/>
      <c r="E2" s="633"/>
      <c r="F2" s="633"/>
    </row>
    <row r="3" spans="2:13" x14ac:dyDescent="0.25">
      <c r="C3" s="634" t="s">
        <v>545</v>
      </c>
      <c r="D3" s="634"/>
      <c r="E3" s="634"/>
      <c r="F3" s="634"/>
    </row>
    <row r="4" spans="2:13" x14ac:dyDescent="0.25">
      <c r="C4" s="634" t="s">
        <v>160</v>
      </c>
      <c r="D4" s="634"/>
      <c r="E4" s="634" t="s">
        <v>546</v>
      </c>
      <c r="F4" s="634"/>
    </row>
    <row r="5" spans="2:13" x14ac:dyDescent="0.25">
      <c r="C5" s="186" t="s">
        <v>227</v>
      </c>
      <c r="D5" s="186" t="s">
        <v>225</v>
      </c>
      <c r="E5" s="186" t="s">
        <v>227</v>
      </c>
      <c r="F5" s="186" t="s">
        <v>225</v>
      </c>
      <c r="I5" s="133" t="s">
        <v>125</v>
      </c>
      <c r="J5" s="133" t="s">
        <v>126</v>
      </c>
      <c r="K5" s="133" t="s">
        <v>130</v>
      </c>
      <c r="L5" s="133" t="s">
        <v>128</v>
      </c>
      <c r="M5" s="133" t="s">
        <v>132</v>
      </c>
    </row>
    <row r="6" spans="2:13" x14ac:dyDescent="0.25">
      <c r="B6" s="133" t="s">
        <v>533</v>
      </c>
      <c r="C6" s="156">
        <v>-0.01</v>
      </c>
      <c r="D6" s="156">
        <v>5.0000000000000001E-3</v>
      </c>
      <c r="E6" s="156">
        <v>-8.0000000000000002E-3</v>
      </c>
      <c r="F6" s="156">
        <v>6.0000000000000001E-3</v>
      </c>
      <c r="H6" s="133" t="s">
        <v>285</v>
      </c>
      <c r="I6" s="156">
        <v>0</v>
      </c>
      <c r="J6" s="156">
        <v>0</v>
      </c>
      <c r="K6" s="156">
        <v>0</v>
      </c>
      <c r="L6" s="156">
        <v>0</v>
      </c>
      <c r="M6" s="156">
        <v>0</v>
      </c>
    </row>
    <row r="7" spans="2:13" x14ac:dyDescent="0.25">
      <c r="B7" s="133" t="s">
        <v>536</v>
      </c>
      <c r="C7" s="156">
        <v>0</v>
      </c>
      <c r="D7" s="156">
        <v>5.0000000000000001E-3</v>
      </c>
      <c r="E7" s="156">
        <v>0</v>
      </c>
      <c r="F7" s="156">
        <v>6.0000000000000001E-3</v>
      </c>
      <c r="H7" s="133" t="s">
        <v>533</v>
      </c>
      <c r="I7" s="156">
        <f>F6</f>
        <v>6.0000000000000001E-3</v>
      </c>
      <c r="J7" s="156">
        <f>F6</f>
        <v>6.0000000000000001E-3</v>
      </c>
      <c r="K7" s="156">
        <f>D6</f>
        <v>5.0000000000000001E-3</v>
      </c>
      <c r="L7" s="156">
        <f>F6</f>
        <v>6.0000000000000001E-3</v>
      </c>
      <c r="M7" s="156">
        <f>D6</f>
        <v>5.0000000000000001E-3</v>
      </c>
    </row>
    <row r="8" spans="2:13" x14ac:dyDescent="0.25">
      <c r="B8" s="133" t="s">
        <v>308</v>
      </c>
      <c r="C8" s="156">
        <v>5.0000000000000001E-3</v>
      </c>
      <c r="D8" s="156">
        <v>0.02</v>
      </c>
      <c r="E8" s="156">
        <v>4.0000000000000001E-3</v>
      </c>
      <c r="F8" s="156">
        <v>2.4E-2</v>
      </c>
      <c r="H8" s="133" t="s">
        <v>536</v>
      </c>
      <c r="I8" s="156">
        <f>F7</f>
        <v>6.0000000000000001E-3</v>
      </c>
      <c r="J8" s="156">
        <f>F7</f>
        <v>6.0000000000000001E-3</v>
      </c>
      <c r="K8" s="156">
        <f t="shared" ref="K8:K10" si="0">D7</f>
        <v>5.0000000000000001E-3</v>
      </c>
      <c r="L8" s="156">
        <f>F7</f>
        <v>6.0000000000000001E-3</v>
      </c>
      <c r="M8" s="156">
        <f>D7</f>
        <v>5.0000000000000001E-3</v>
      </c>
    </row>
    <row r="9" spans="2:13" x14ac:dyDescent="0.25">
      <c r="B9" s="133" t="s">
        <v>307</v>
      </c>
      <c r="C9" s="156">
        <v>1.4999999999999999E-2</v>
      </c>
      <c r="D9" s="156">
        <v>0.05</v>
      </c>
      <c r="E9" s="156">
        <v>1.2E-2</v>
      </c>
      <c r="F9" s="156">
        <v>0.06</v>
      </c>
      <c r="H9" s="133" t="s">
        <v>308</v>
      </c>
      <c r="I9" s="156">
        <f>F8</f>
        <v>2.4E-2</v>
      </c>
      <c r="J9" s="156">
        <f>F8</f>
        <v>2.4E-2</v>
      </c>
      <c r="K9" s="156">
        <f t="shared" si="0"/>
        <v>0.02</v>
      </c>
      <c r="L9" s="156">
        <f>F8</f>
        <v>2.4E-2</v>
      </c>
      <c r="M9" s="156">
        <f>D8</f>
        <v>0.02</v>
      </c>
    </row>
    <row r="10" spans="2:13" x14ac:dyDescent="0.25">
      <c r="B10" s="133" t="s">
        <v>547</v>
      </c>
      <c r="C10" s="156">
        <v>-0.02</v>
      </c>
      <c r="D10" s="156">
        <v>0.08</v>
      </c>
      <c r="E10" s="156">
        <v>-1.6E-2</v>
      </c>
      <c r="F10" s="156">
        <v>9.6000000000000002E-2</v>
      </c>
      <c r="H10" s="133" t="s">
        <v>307</v>
      </c>
      <c r="I10" s="156">
        <f>F9</f>
        <v>0.06</v>
      </c>
      <c r="J10" s="156">
        <f>F9</f>
        <v>0.06</v>
      </c>
      <c r="K10" s="156">
        <f t="shared" si="0"/>
        <v>0.05</v>
      </c>
      <c r="L10" s="156">
        <f>F9</f>
        <v>0.06</v>
      </c>
      <c r="M10" s="156">
        <f>D9</f>
        <v>0.05</v>
      </c>
    </row>
    <row r="12" spans="2:13" x14ac:dyDescent="0.25">
      <c r="B12" s="133" t="s">
        <v>548</v>
      </c>
    </row>
    <row r="13" spans="2:13" x14ac:dyDescent="0.25">
      <c r="B13" s="133" t="s">
        <v>549</v>
      </c>
    </row>
    <row r="15" spans="2:13" x14ac:dyDescent="0.25">
      <c r="C15" s="133" t="s">
        <v>550</v>
      </c>
    </row>
    <row r="16" spans="2:13" x14ac:dyDescent="0.25">
      <c r="C16" s="633" t="s">
        <v>551</v>
      </c>
      <c r="D16" s="633"/>
      <c r="E16" s="633" t="s">
        <v>552</v>
      </c>
      <c r="F16" s="633"/>
    </row>
    <row r="17" spans="2:6" x14ac:dyDescent="0.25">
      <c r="C17" s="133" t="s">
        <v>227</v>
      </c>
      <c r="D17" s="133" t="s">
        <v>225</v>
      </c>
      <c r="E17" s="133" t="s">
        <v>227</v>
      </c>
      <c r="F17" s="133" t="s">
        <v>225</v>
      </c>
    </row>
    <row r="18" spans="2:6" x14ac:dyDescent="0.25">
      <c r="B18" s="133" t="s">
        <v>553</v>
      </c>
      <c r="C18" s="154">
        <v>0</v>
      </c>
      <c r="D18" s="154">
        <v>0.05</v>
      </c>
      <c r="E18" s="154">
        <v>0.1</v>
      </c>
      <c r="F18" s="154">
        <v>0.12</v>
      </c>
    </row>
  </sheetData>
  <mergeCells count="6">
    <mergeCell ref="C2:F2"/>
    <mergeCell ref="C16:D16"/>
    <mergeCell ref="E16:F16"/>
    <mergeCell ref="E4:F4"/>
    <mergeCell ref="C4:D4"/>
    <mergeCell ref="C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88B5-A058-49B5-BC73-9BAE4F3F8D7F}">
  <sheetPr codeName="Sheet24">
    <tabColor theme="0" tint="-0.499984740745262"/>
  </sheetPr>
  <dimension ref="B4:D23"/>
  <sheetViews>
    <sheetView workbookViewId="0">
      <selection activeCell="F10" sqref="F10"/>
    </sheetView>
  </sheetViews>
  <sheetFormatPr defaultColWidth="8.69921875" defaultRowHeight="13.8" x14ac:dyDescent="0.25"/>
  <cols>
    <col min="1" max="1" width="8.69921875" style="133"/>
    <col min="2" max="2" width="25.5" style="133" bestFit="1" customWidth="1"/>
    <col min="3" max="3" width="11.5" style="133" customWidth="1"/>
    <col min="4" max="4" width="11.09765625" style="133" bestFit="1" customWidth="1"/>
    <col min="5" max="16384" width="8.69921875" style="133"/>
  </cols>
  <sheetData>
    <row r="4" spans="2:4" x14ac:dyDescent="0.25">
      <c r="B4" s="153" t="s">
        <v>211</v>
      </c>
      <c r="C4" s="133" t="str">
        <f>'Model Controls'!$E$2</f>
        <v>Mixed-Use Residential Mid-rise</v>
      </c>
    </row>
    <row r="5" spans="2:4" x14ac:dyDescent="0.25">
      <c r="B5" s="214" t="s">
        <v>248</v>
      </c>
      <c r="C5" s="133" t="str">
        <f>'Model Controls'!$E$3</f>
        <v>No</v>
      </c>
    </row>
    <row r="6" spans="2:4" x14ac:dyDescent="0.25">
      <c r="B6" s="153" t="s">
        <v>193</v>
      </c>
      <c r="C6" s="403">
        <f>'Model Controls'!$E$11</f>
        <v>62000</v>
      </c>
    </row>
    <row r="7" spans="2:4" x14ac:dyDescent="0.25">
      <c r="B7" s="153" t="s">
        <v>337</v>
      </c>
      <c r="C7" s="133" t="s">
        <v>554</v>
      </c>
    </row>
    <row r="8" spans="2:4" x14ac:dyDescent="0.25">
      <c r="B8" s="153" t="s">
        <v>555</v>
      </c>
      <c r="C8" s="464">
        <f>SQRT(C6)</f>
        <v>248.99799195977465</v>
      </c>
    </row>
    <row r="10" spans="2:4" x14ac:dyDescent="0.25">
      <c r="B10" s="153" t="s">
        <v>556</v>
      </c>
    </row>
    <row r="11" spans="2:4" x14ac:dyDescent="0.25">
      <c r="B11" s="153" t="s">
        <v>337</v>
      </c>
      <c r="C11" s="133" t="s">
        <v>557</v>
      </c>
    </row>
    <row r="12" spans="2:4" x14ac:dyDescent="0.25">
      <c r="B12" s="133" t="s">
        <v>558</v>
      </c>
      <c r="C12" s="464">
        <f>IF($C$5="Yes",C8,0)</f>
        <v>0</v>
      </c>
    </row>
    <row r="13" spans="2:4" x14ac:dyDescent="0.25">
      <c r="B13" s="133" t="s">
        <v>559</v>
      </c>
      <c r="C13" s="133">
        <f>SUM(C14:C15)</f>
        <v>34</v>
      </c>
      <c r="D13" s="133" t="s">
        <v>320</v>
      </c>
    </row>
    <row r="14" spans="2:4" x14ac:dyDescent="0.25">
      <c r="B14" s="133" t="s">
        <v>560</v>
      </c>
      <c r="C14" s="133">
        <v>24</v>
      </c>
      <c r="D14" s="133" t="s">
        <v>320</v>
      </c>
    </row>
    <row r="15" spans="2:4" x14ac:dyDescent="0.25">
      <c r="B15" s="133" t="s">
        <v>442</v>
      </c>
      <c r="C15" s="133">
        <v>10</v>
      </c>
      <c r="D15" s="133" t="s">
        <v>320</v>
      </c>
    </row>
    <row r="16" spans="2:4" x14ac:dyDescent="0.25">
      <c r="B16" s="153" t="s">
        <v>561</v>
      </c>
      <c r="C16" s="465">
        <f>C12*C13</f>
        <v>0</v>
      </c>
      <c r="D16" s="153" t="s">
        <v>409</v>
      </c>
    </row>
    <row r="17" spans="2:4" x14ac:dyDescent="0.25">
      <c r="B17" s="133" t="s">
        <v>560</v>
      </c>
      <c r="C17" s="403">
        <f>C14*C$12</f>
        <v>0</v>
      </c>
      <c r="D17" s="133" t="s">
        <v>409</v>
      </c>
    </row>
    <row r="18" spans="2:4" x14ac:dyDescent="0.25">
      <c r="B18" s="133" t="s">
        <v>442</v>
      </c>
      <c r="C18" s="403">
        <f>C15*C$12</f>
        <v>0</v>
      </c>
      <c r="D18" s="133" t="s">
        <v>409</v>
      </c>
    </row>
    <row r="19" spans="2:4" x14ac:dyDescent="0.25">
      <c r="B19" s="133" t="s">
        <v>562</v>
      </c>
      <c r="C19" s="187">
        <f>C16/C6</f>
        <v>0</v>
      </c>
    </row>
    <row r="21" spans="2:4" x14ac:dyDescent="0.25">
      <c r="B21" s="153" t="s">
        <v>457</v>
      </c>
      <c r="C21" s="399">
        <f>SUM(C22:C23)</f>
        <v>0</v>
      </c>
    </row>
    <row r="22" spans="2:4" x14ac:dyDescent="0.25">
      <c r="B22" s="133" t="s">
        <v>560</v>
      </c>
      <c r="C22" s="194">
        <f>C17*INDEX('Model Inputs'!$D$59:$H$59,MATCH('Site Calcs'!$C$4,'Model Inputs'!$D$3:$H$3,0))</f>
        <v>0</v>
      </c>
    </row>
    <row r="23" spans="2:4" x14ac:dyDescent="0.25">
      <c r="B23" s="133" t="s">
        <v>442</v>
      </c>
      <c r="C23" s="194">
        <f>C18*INDEX('Model Inputs'!$D$59:$H$59,MATCH('Site Calcs'!$C$4,'Model Inputs'!$D$3:$H$3,0))</f>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052A-7543-4759-97BA-B2FE253E2CC0}">
  <sheetPr codeName="Sheet30">
    <tabColor theme="1" tint="0.499984740745262"/>
  </sheetPr>
  <dimension ref="B2:G85"/>
  <sheetViews>
    <sheetView workbookViewId="0">
      <selection activeCell="B53" sqref="B53:F56"/>
    </sheetView>
  </sheetViews>
  <sheetFormatPr defaultColWidth="8.69921875" defaultRowHeight="13.8" x14ac:dyDescent="0.25"/>
  <cols>
    <col min="1" max="1" width="8.69921875" style="133"/>
    <col min="2" max="2" width="29.59765625" style="133" bestFit="1" customWidth="1"/>
    <col min="3" max="3" width="19.8984375" style="133" customWidth="1"/>
    <col min="4" max="4" width="29.59765625" style="133" bestFit="1" customWidth="1"/>
    <col min="5" max="5" width="19.19921875" style="133" bestFit="1" customWidth="1"/>
    <col min="6" max="6" width="25" style="133" bestFit="1" customWidth="1"/>
    <col min="7" max="7" width="23.59765625" style="133" bestFit="1" customWidth="1"/>
    <col min="8" max="16384" width="8.69921875" style="133"/>
  </cols>
  <sheetData>
    <row r="2" spans="2:7" ht="14.4" thickBot="1" x14ac:dyDescent="0.3"/>
    <row r="3" spans="2:7" x14ac:dyDescent="0.25">
      <c r="B3" s="531"/>
      <c r="C3" s="245" t="s">
        <v>186</v>
      </c>
      <c r="D3" s="245" t="s">
        <v>187</v>
      </c>
      <c r="E3" s="245" t="s">
        <v>188</v>
      </c>
      <c r="F3" s="245" t="s">
        <v>189</v>
      </c>
      <c r="G3" s="245" t="s">
        <v>190</v>
      </c>
    </row>
    <row r="4" spans="2:7" x14ac:dyDescent="0.25">
      <c r="B4" s="253"/>
      <c r="C4" s="408" t="s">
        <v>125</v>
      </c>
      <c r="D4" s="532" t="s">
        <v>126</v>
      </c>
      <c r="E4" s="532" t="s">
        <v>128</v>
      </c>
      <c r="F4" s="532" t="s">
        <v>130</v>
      </c>
      <c r="G4" s="532" t="s">
        <v>132</v>
      </c>
    </row>
    <row r="5" spans="2:7" x14ac:dyDescent="0.25">
      <c r="B5" s="243" t="s">
        <v>139</v>
      </c>
      <c r="C5" s="432"/>
      <c r="D5" s="432"/>
      <c r="E5" s="432"/>
      <c r="F5" s="432"/>
      <c r="G5" s="432"/>
    </row>
    <row r="6" spans="2:7" x14ac:dyDescent="0.25">
      <c r="B6" s="133" t="s">
        <v>563</v>
      </c>
      <c r="C6" s="570">
        <f>'Prototype Inputs'!C15</f>
        <v>735000</v>
      </c>
      <c r="D6" s="570">
        <f>'Prototype Inputs'!D15</f>
        <v>130200</v>
      </c>
      <c r="E6" s="570">
        <f>'Prototype Inputs'!E15</f>
        <v>659750</v>
      </c>
      <c r="F6" s="570">
        <f>'Prototype Inputs'!F15</f>
        <v>130200</v>
      </c>
      <c r="G6" s="570">
        <f>'Prototype Inputs'!G15</f>
        <v>659750</v>
      </c>
    </row>
    <row r="7" spans="2:7" x14ac:dyDescent="0.25">
      <c r="B7" s="133" t="s">
        <v>231</v>
      </c>
      <c r="C7" s="570">
        <f>'Prototype Inputs'!C36</f>
        <v>879</v>
      </c>
      <c r="D7" s="570">
        <f>'Prototype Inputs'!D36</f>
        <v>136</v>
      </c>
      <c r="E7" s="570">
        <f>'Prototype Inputs'!E36</f>
        <v>766</v>
      </c>
      <c r="F7" s="570" t="str">
        <f>'Prototype Inputs'!F36</f>
        <v>n/a</v>
      </c>
      <c r="G7" s="570" t="str">
        <f>'Prototype Inputs'!G36</f>
        <v>n/a</v>
      </c>
    </row>
    <row r="8" spans="2:7" x14ac:dyDescent="0.25">
      <c r="B8" s="133" t="s">
        <v>444</v>
      </c>
      <c r="C8" s="247">
        <f>C7*'Model Inputs'!D$61</f>
        <v>1288614</v>
      </c>
      <c r="D8" s="247">
        <f>D7*'Model Inputs'!E$61</f>
        <v>409224</v>
      </c>
      <c r="E8" s="247">
        <f>E7*'Model Inputs'!F$61</f>
        <v>1122956</v>
      </c>
      <c r="F8" s="247">
        <f>F6*'Model Inputs'!G$61</f>
        <v>1183518</v>
      </c>
      <c r="G8" s="247">
        <f>G6*'Model Inputs'!H$61</f>
        <v>17074330</v>
      </c>
    </row>
    <row r="9" spans="2:7" x14ac:dyDescent="0.25">
      <c r="B9" s="243" t="s">
        <v>140</v>
      </c>
      <c r="C9" s="432"/>
      <c r="D9" s="432"/>
      <c r="E9" s="432"/>
      <c r="F9" s="432"/>
      <c r="G9" s="432"/>
    </row>
    <row r="10" spans="2:7" x14ac:dyDescent="0.25">
      <c r="B10" s="133" t="s">
        <v>563</v>
      </c>
      <c r="C10" s="570">
        <f>'Prototype Inputs'!C77</f>
        <v>735000</v>
      </c>
      <c r="D10" s="570">
        <f>'Prototype Inputs'!D77</f>
        <v>130200</v>
      </c>
      <c r="E10" s="570">
        <f>'Prototype Inputs'!E77</f>
        <v>659750</v>
      </c>
      <c r="F10" s="570">
        <f>'Prototype Inputs'!F77</f>
        <v>130200</v>
      </c>
      <c r="G10" s="570">
        <f>'Prototype Inputs'!G77</f>
        <v>659750</v>
      </c>
    </row>
    <row r="11" spans="2:7" x14ac:dyDescent="0.25">
      <c r="B11" s="133" t="s">
        <v>231</v>
      </c>
      <c r="C11" s="570">
        <f>'Prototype Inputs'!C98</f>
        <v>879</v>
      </c>
      <c r="D11" s="570">
        <f>'Prototype Inputs'!D98</f>
        <v>136</v>
      </c>
      <c r="E11" s="570">
        <f>'Prototype Inputs'!E98</f>
        <v>766</v>
      </c>
      <c r="F11" s="570" t="str">
        <f>'Prototype Inputs'!F98</f>
        <v>n/a</v>
      </c>
      <c r="G11" s="570" t="str">
        <f>'Prototype Inputs'!G98</f>
        <v>n/a</v>
      </c>
    </row>
    <row r="12" spans="2:7" x14ac:dyDescent="0.25">
      <c r="B12" s="133" t="s">
        <v>444</v>
      </c>
      <c r="C12" s="247">
        <f>C11*'Model Inputs'!D$61</f>
        <v>1288614</v>
      </c>
      <c r="D12" s="247">
        <f>D11*'Model Inputs'!E$61</f>
        <v>409224</v>
      </c>
      <c r="E12" s="247">
        <f>E11*'Model Inputs'!F$61</f>
        <v>1122956</v>
      </c>
      <c r="F12" s="247">
        <f>F10*'Model Inputs'!G$61</f>
        <v>1183518</v>
      </c>
      <c r="G12" s="247">
        <f>G10*'Model Inputs'!H$61</f>
        <v>17074330</v>
      </c>
    </row>
    <row r="13" spans="2:7" x14ac:dyDescent="0.25">
      <c r="B13" s="243" t="s">
        <v>142</v>
      </c>
      <c r="C13" s="432"/>
      <c r="D13" s="432"/>
      <c r="E13" s="432"/>
      <c r="F13" s="432"/>
      <c r="G13" s="432"/>
    </row>
    <row r="14" spans="2:7" x14ac:dyDescent="0.25">
      <c r="B14" s="133" t="s">
        <v>563</v>
      </c>
      <c r="C14" s="570">
        <f>'Prototype Inputs'!C141</f>
        <v>1359750</v>
      </c>
      <c r="D14" s="570">
        <f>'Prototype Inputs'!D141</f>
        <v>204600</v>
      </c>
      <c r="E14" s="570">
        <f>'Prototype Inputs'!E141</f>
        <v>1015000</v>
      </c>
      <c r="F14" s="570">
        <f>'Prototype Inputs'!F141</f>
        <v>204600</v>
      </c>
      <c r="G14" s="570">
        <f>'Prototype Inputs'!G141</f>
        <v>1015000</v>
      </c>
    </row>
    <row r="15" spans="2:7" x14ac:dyDescent="0.25">
      <c r="B15" s="133" t="s">
        <v>231</v>
      </c>
      <c r="C15" s="570">
        <f>'Prototype Inputs'!C162</f>
        <v>1666</v>
      </c>
      <c r="D15" s="570">
        <f>'Prototype Inputs'!D162</f>
        <v>214</v>
      </c>
      <c r="E15" s="570">
        <f>'Prototype Inputs'!E162</f>
        <v>1214</v>
      </c>
      <c r="F15" s="570" t="str">
        <f>'Prototype Inputs'!F162</f>
        <v>n/a</v>
      </c>
      <c r="G15" s="570" t="str">
        <f>'Prototype Inputs'!G162</f>
        <v>n/a</v>
      </c>
    </row>
    <row r="16" spans="2:7" ht="14.4" thickBot="1" x14ac:dyDescent="0.3">
      <c r="B16" s="246" t="s">
        <v>444</v>
      </c>
      <c r="C16" s="572">
        <f>C15*'Model Inputs'!D$61</f>
        <v>2442356</v>
      </c>
      <c r="D16" s="572">
        <f>D15*'Model Inputs'!E$61</f>
        <v>643926</v>
      </c>
      <c r="E16" s="572">
        <f>E15*'Model Inputs'!F$61</f>
        <v>1779724</v>
      </c>
      <c r="F16" s="572">
        <f>F14*'Model Inputs'!G$61</f>
        <v>1859814</v>
      </c>
      <c r="G16" s="572">
        <f>G14*'Model Inputs'!H$61</f>
        <v>26268200</v>
      </c>
    </row>
    <row r="19" spans="2:3" ht="14.4" thickBot="1" x14ac:dyDescent="0.3"/>
    <row r="20" spans="2:3" ht="27.6" x14ac:dyDescent="0.25">
      <c r="B20" s="573"/>
      <c r="C20" s="242" t="str">
        <f>'Model Controls'!E2</f>
        <v>Mixed-Use Residential Mid-rise</v>
      </c>
    </row>
    <row r="21" spans="2:3" x14ac:dyDescent="0.25">
      <c r="B21" s="243" t="s">
        <v>139</v>
      </c>
      <c r="C21" s="432"/>
    </row>
    <row r="22" spans="2:3" x14ac:dyDescent="0.25">
      <c r="B22" s="133" t="s">
        <v>564</v>
      </c>
      <c r="C22" s="403">
        <f>SUM(Model_Baseline!K3:K4)</f>
        <v>4305480</v>
      </c>
    </row>
    <row r="23" spans="2:3" x14ac:dyDescent="0.25">
      <c r="B23" s="133" t="s">
        <v>565</v>
      </c>
      <c r="C23" s="370">
        <f>Model_Baseline!K10</f>
        <v>-215274</v>
      </c>
    </row>
    <row r="24" spans="2:3" x14ac:dyDescent="0.25">
      <c r="B24" s="133" t="s">
        <v>566</v>
      </c>
      <c r="C24" s="194">
        <f>SUM(C22:C23)</f>
        <v>4090206</v>
      </c>
    </row>
    <row r="25" spans="2:3" x14ac:dyDescent="0.25">
      <c r="B25" s="133" t="s">
        <v>170</v>
      </c>
      <c r="C25" s="574">
        <f>Model_Baseline!J15</f>
        <v>0.3</v>
      </c>
    </row>
    <row r="26" spans="2:3" x14ac:dyDescent="0.25">
      <c r="B26" s="133" t="s">
        <v>567</v>
      </c>
      <c r="C26" s="247">
        <f>C24-(C24*C25)</f>
        <v>2863144.2</v>
      </c>
    </row>
    <row r="27" spans="2:3" x14ac:dyDescent="0.25">
      <c r="B27" s="133" t="s">
        <v>568</v>
      </c>
      <c r="C27" s="575">
        <f>Model_Baseline!K45+0.005</f>
        <v>5.2499999999999998E-2</v>
      </c>
    </row>
    <row r="28" spans="2:3" x14ac:dyDescent="0.25">
      <c r="B28" s="133" t="s">
        <v>569</v>
      </c>
      <c r="C28" s="247">
        <f>C26/C27</f>
        <v>54536080.000000007</v>
      </c>
    </row>
    <row r="29" spans="2:3" x14ac:dyDescent="0.25">
      <c r="B29" s="133" t="s">
        <v>448</v>
      </c>
      <c r="C29" s="576">
        <f>INDEX('Model Inputs'!$D$62:$H$62,MATCH('IF_MFTE Calculations'!$C$20,'Model Inputs'!$D$3:$H$3,0))</f>
        <v>7.0999999999999995E-3</v>
      </c>
    </row>
    <row r="30" spans="2:3" x14ac:dyDescent="0.25">
      <c r="B30" s="153" t="s">
        <v>570</v>
      </c>
      <c r="C30" s="392">
        <f>C28*C29</f>
        <v>387206.16800000001</v>
      </c>
    </row>
    <row r="31" spans="2:3" x14ac:dyDescent="0.25">
      <c r="B31" s="243" t="s">
        <v>140</v>
      </c>
      <c r="C31" s="432"/>
    </row>
    <row r="32" spans="2:3" x14ac:dyDescent="0.25">
      <c r="B32" s="133" t="s">
        <v>564</v>
      </c>
      <c r="C32" s="403">
        <f>SUM(Model_Scenario_Base!K3:K4)</f>
        <v>4184383.2</v>
      </c>
    </row>
    <row r="33" spans="2:3" x14ac:dyDescent="0.25">
      <c r="B33" s="133" t="s">
        <v>565</v>
      </c>
      <c r="C33" s="370">
        <f>Model_Scenario_Base!K10</f>
        <v>-209219.16000000003</v>
      </c>
    </row>
    <row r="34" spans="2:3" x14ac:dyDescent="0.25">
      <c r="B34" s="133" t="s">
        <v>566</v>
      </c>
      <c r="C34" s="194">
        <f>SUM(C32:C33)</f>
        <v>3975164.04</v>
      </c>
    </row>
    <row r="35" spans="2:3" x14ac:dyDescent="0.25">
      <c r="B35" s="133" t="s">
        <v>170</v>
      </c>
      <c r="C35" s="574">
        <f>Model_Scenario_Base!J15</f>
        <v>0.3</v>
      </c>
    </row>
    <row r="36" spans="2:3" x14ac:dyDescent="0.25">
      <c r="B36" s="133" t="s">
        <v>567</v>
      </c>
      <c r="C36" s="247">
        <f>C34-(C34*C35)</f>
        <v>2782614.8279999997</v>
      </c>
    </row>
    <row r="37" spans="2:3" x14ac:dyDescent="0.25">
      <c r="B37" s="133" t="s">
        <v>568</v>
      </c>
      <c r="C37" s="575">
        <f>Model_Scenario_Base!K45+0.005</f>
        <v>5.2499999999999998E-2</v>
      </c>
    </row>
    <row r="38" spans="2:3" x14ac:dyDescent="0.25">
      <c r="B38" s="133" t="s">
        <v>569</v>
      </c>
      <c r="C38" s="247">
        <f>C36/C37</f>
        <v>53002187.199999996</v>
      </c>
    </row>
    <row r="39" spans="2:3" x14ac:dyDescent="0.25">
      <c r="B39" s="133" t="s">
        <v>448</v>
      </c>
      <c r="C39" s="576">
        <f>INDEX('Model Inputs'!$D$62:$H$62,MATCH('IF_MFTE Calculations'!$C$20,'Model Inputs'!$D$3:$H$3,0))</f>
        <v>7.0999999999999995E-3</v>
      </c>
    </row>
    <row r="40" spans="2:3" x14ac:dyDescent="0.25">
      <c r="B40" s="153" t="s">
        <v>570</v>
      </c>
      <c r="C40" s="392">
        <f>C38*C39</f>
        <v>376315.52911999996</v>
      </c>
    </row>
    <row r="41" spans="2:3" x14ac:dyDescent="0.25">
      <c r="B41" s="243" t="s">
        <v>142</v>
      </c>
      <c r="C41" s="432"/>
    </row>
    <row r="42" spans="2:3" x14ac:dyDescent="0.25">
      <c r="B42" s="133" t="s">
        <v>564</v>
      </c>
      <c r="C42" s="403">
        <f>SUM(Model_Scenario_Max!K3:K4)</f>
        <v>6316656</v>
      </c>
    </row>
    <row r="43" spans="2:3" x14ac:dyDescent="0.25">
      <c r="B43" s="133" t="s">
        <v>565</v>
      </c>
      <c r="C43" s="370">
        <f>Model_Scenario_Max!K10</f>
        <v>-315832.80000000005</v>
      </c>
    </row>
    <row r="44" spans="2:3" x14ac:dyDescent="0.25">
      <c r="B44" s="133" t="s">
        <v>566</v>
      </c>
      <c r="C44" s="194">
        <f>SUM(C42:C43)</f>
        <v>6000823.2000000002</v>
      </c>
    </row>
    <row r="45" spans="2:3" x14ac:dyDescent="0.25">
      <c r="B45" s="133" t="s">
        <v>170</v>
      </c>
      <c r="C45" s="574">
        <f>Model_Scenario_Max!J15</f>
        <v>0.3</v>
      </c>
    </row>
    <row r="46" spans="2:3" x14ac:dyDescent="0.25">
      <c r="B46" s="133" t="s">
        <v>567</v>
      </c>
      <c r="C46" s="247">
        <f>C44-(C44*C45)</f>
        <v>4200576.24</v>
      </c>
    </row>
    <row r="47" spans="2:3" x14ac:dyDescent="0.25">
      <c r="B47" s="133" t="s">
        <v>568</v>
      </c>
      <c r="C47" s="575">
        <f>Model_Scenario_Max!K48+0.005</f>
        <v>5.2499999999999998E-2</v>
      </c>
    </row>
    <row r="48" spans="2:3" x14ac:dyDescent="0.25">
      <c r="B48" s="133" t="s">
        <v>569</v>
      </c>
      <c r="C48" s="247">
        <f>C46/C47</f>
        <v>80010976</v>
      </c>
    </row>
    <row r="49" spans="2:6" x14ac:dyDescent="0.25">
      <c r="B49" s="133" t="s">
        <v>448</v>
      </c>
      <c r="C49" s="576">
        <f>INDEX('Model Inputs'!$D$62:$H$62,MATCH('IF_MFTE Calculations'!$C$20,'Model Inputs'!$D$3:$H$3,0))</f>
        <v>7.0999999999999995E-3</v>
      </c>
    </row>
    <row r="50" spans="2:6" ht="14.4" thickBot="1" x14ac:dyDescent="0.3">
      <c r="B50" s="251" t="s">
        <v>570</v>
      </c>
      <c r="C50" s="577">
        <f>C48*C49</f>
        <v>568077.92959999992</v>
      </c>
    </row>
    <row r="53" spans="2:6" x14ac:dyDescent="0.25">
      <c r="B53" s="635" t="s">
        <v>571</v>
      </c>
      <c r="C53" s="635"/>
      <c r="D53" s="635"/>
      <c r="E53" s="635"/>
      <c r="F53" s="635"/>
    </row>
    <row r="54" spans="2:6" x14ac:dyDescent="0.25">
      <c r="B54" s="635"/>
      <c r="C54" s="635"/>
      <c r="D54" s="635"/>
      <c r="E54" s="635"/>
      <c r="F54" s="635"/>
    </row>
    <row r="55" spans="2:6" x14ac:dyDescent="0.25">
      <c r="B55" s="635"/>
      <c r="C55" s="635"/>
      <c r="D55" s="635"/>
      <c r="E55" s="635"/>
      <c r="F55" s="635"/>
    </row>
    <row r="56" spans="2:6" x14ac:dyDescent="0.25">
      <c r="B56" s="635"/>
      <c r="C56" s="635"/>
      <c r="D56" s="635"/>
      <c r="E56" s="635"/>
      <c r="F56" s="635"/>
    </row>
    <row r="58" spans="2:6" x14ac:dyDescent="0.25">
      <c r="C58" s="133" t="s">
        <v>140</v>
      </c>
      <c r="D58" s="133" t="s">
        <v>142</v>
      </c>
    </row>
    <row r="59" spans="2:6" x14ac:dyDescent="0.25">
      <c r="B59" s="186" t="s">
        <v>572</v>
      </c>
      <c r="C59" s="447" t="s">
        <v>573</v>
      </c>
      <c r="D59" s="447" t="s">
        <v>573</v>
      </c>
    </row>
    <row r="60" spans="2:6" x14ac:dyDescent="0.25">
      <c r="B60" s="133">
        <v>1</v>
      </c>
      <c r="C60" s="247">
        <f>$C$38*$C$39</f>
        <v>376315.52911999996</v>
      </c>
      <c r="D60" s="247">
        <f>$C$48*$C$49</f>
        <v>568077.92959999992</v>
      </c>
    </row>
    <row r="61" spans="2:6" x14ac:dyDescent="0.25">
      <c r="B61" s="133">
        <v>2</v>
      </c>
      <c r="C61" s="247">
        <f>C60*(1+C$83)</f>
        <v>380078.68441119994</v>
      </c>
      <c r="D61" s="247">
        <f>D60*(1+D$83)</f>
        <v>573758.70889599994</v>
      </c>
    </row>
    <row r="62" spans="2:6" x14ac:dyDescent="0.25">
      <c r="B62" s="133">
        <v>3</v>
      </c>
      <c r="C62" s="247">
        <f t="shared" ref="C62:D79" si="0">C61*(1+C$83)</f>
        <v>383879.47125531192</v>
      </c>
      <c r="D62" s="247">
        <f t="shared" si="0"/>
        <v>579496.29598495993</v>
      </c>
    </row>
    <row r="63" spans="2:6" x14ac:dyDescent="0.25">
      <c r="B63" s="133">
        <v>4</v>
      </c>
      <c r="C63" s="247">
        <f t="shared" si="0"/>
        <v>387718.26596786507</v>
      </c>
      <c r="D63" s="247">
        <f t="shared" si="0"/>
        <v>585291.25894480955</v>
      </c>
    </row>
    <row r="64" spans="2:6" x14ac:dyDescent="0.25">
      <c r="B64" s="133">
        <v>5</v>
      </c>
      <c r="C64" s="247">
        <f t="shared" si="0"/>
        <v>391595.44862754369</v>
      </c>
      <c r="D64" s="247">
        <f t="shared" si="0"/>
        <v>591144.17153425771</v>
      </c>
    </row>
    <row r="65" spans="2:4" x14ac:dyDescent="0.25">
      <c r="B65" s="133">
        <v>6</v>
      </c>
      <c r="C65" s="247">
        <f t="shared" si="0"/>
        <v>395511.40311381913</v>
      </c>
      <c r="D65" s="247">
        <f t="shared" si="0"/>
        <v>597055.61324960028</v>
      </c>
    </row>
    <row r="66" spans="2:4" x14ac:dyDescent="0.25">
      <c r="B66" s="133">
        <v>7</v>
      </c>
      <c r="C66" s="247">
        <f t="shared" si="0"/>
        <v>399466.51714495732</v>
      </c>
      <c r="D66" s="247">
        <f t="shared" si="0"/>
        <v>603026.16938209627</v>
      </c>
    </row>
    <row r="67" spans="2:4" x14ac:dyDescent="0.25">
      <c r="B67" s="133">
        <v>8</v>
      </c>
      <c r="C67" s="247">
        <f t="shared" si="0"/>
        <v>403461.18231640692</v>
      </c>
      <c r="D67" s="247">
        <f t="shared" si="0"/>
        <v>609056.43107591721</v>
      </c>
    </row>
    <row r="68" spans="2:4" x14ac:dyDescent="0.25">
      <c r="B68" s="133">
        <v>9</v>
      </c>
      <c r="C68" s="247">
        <f t="shared" si="0"/>
        <v>407495.79413957102</v>
      </c>
      <c r="D68" s="247">
        <f t="shared" si="0"/>
        <v>615146.9953866764</v>
      </c>
    </row>
    <row r="69" spans="2:4" x14ac:dyDescent="0.25">
      <c r="B69" s="133">
        <v>10</v>
      </c>
      <c r="C69" s="247">
        <f t="shared" si="0"/>
        <v>411570.75208096672</v>
      </c>
      <c r="D69" s="247">
        <f t="shared" si="0"/>
        <v>621298.46534054319</v>
      </c>
    </row>
    <row r="70" spans="2:4" x14ac:dyDescent="0.25">
      <c r="B70" s="133">
        <v>11</v>
      </c>
      <c r="C70" s="247">
        <f t="shared" si="0"/>
        <v>415686.45960177638</v>
      </c>
      <c r="D70" s="247">
        <f t="shared" si="0"/>
        <v>627511.44999394857</v>
      </c>
    </row>
    <row r="71" spans="2:4" x14ac:dyDescent="0.25">
      <c r="B71" s="133">
        <v>12</v>
      </c>
      <c r="C71" s="247">
        <f t="shared" si="0"/>
        <v>419843.32419779414</v>
      </c>
      <c r="D71" s="247">
        <f t="shared" si="0"/>
        <v>633786.56449388806</v>
      </c>
    </row>
    <row r="72" spans="2:4" x14ac:dyDescent="0.25">
      <c r="B72" s="133">
        <v>13</v>
      </c>
      <c r="C72" s="247">
        <f t="shared" si="0"/>
        <v>424041.75743977207</v>
      </c>
      <c r="D72" s="247">
        <f t="shared" si="0"/>
        <v>640124.43013882695</v>
      </c>
    </row>
    <row r="73" spans="2:4" x14ac:dyDescent="0.25">
      <c r="B73" s="133">
        <v>14</v>
      </c>
      <c r="C73" s="247">
        <f t="shared" si="0"/>
        <v>428282.17501416977</v>
      </c>
      <c r="D73" s="247">
        <f t="shared" si="0"/>
        <v>646525.67444021523</v>
      </c>
    </row>
    <row r="74" spans="2:4" x14ac:dyDescent="0.25">
      <c r="B74" s="133">
        <v>15</v>
      </c>
      <c r="C74" s="247">
        <f t="shared" si="0"/>
        <v>432564.99676431145</v>
      </c>
      <c r="D74" s="247">
        <f t="shared" si="0"/>
        <v>652990.93118461734</v>
      </c>
    </row>
    <row r="75" spans="2:4" x14ac:dyDescent="0.25">
      <c r="B75" s="133">
        <v>16</v>
      </c>
      <c r="C75" s="247">
        <f t="shared" si="0"/>
        <v>436890.64673195459</v>
      </c>
      <c r="D75" s="247">
        <f t="shared" si="0"/>
        <v>659520.84049646347</v>
      </c>
    </row>
    <row r="76" spans="2:4" x14ac:dyDescent="0.25">
      <c r="B76" s="133">
        <v>17</v>
      </c>
      <c r="C76" s="247">
        <f t="shared" si="0"/>
        <v>441259.55319927412</v>
      </c>
      <c r="D76" s="247">
        <f t="shared" si="0"/>
        <v>666116.04890142812</v>
      </c>
    </row>
    <row r="77" spans="2:4" x14ac:dyDescent="0.25">
      <c r="B77" s="133">
        <v>18</v>
      </c>
      <c r="C77" s="247">
        <f t="shared" si="0"/>
        <v>445672.14873126685</v>
      </c>
      <c r="D77" s="247">
        <f t="shared" si="0"/>
        <v>672777.20939044235</v>
      </c>
    </row>
    <row r="78" spans="2:4" x14ac:dyDescent="0.25">
      <c r="B78" s="133">
        <v>19</v>
      </c>
      <c r="C78" s="247">
        <f t="shared" si="0"/>
        <v>450128.87021857954</v>
      </c>
      <c r="D78" s="247">
        <f t="shared" si="0"/>
        <v>679504.98148434679</v>
      </c>
    </row>
    <row r="79" spans="2:4" x14ac:dyDescent="0.25">
      <c r="B79" s="133">
        <v>20</v>
      </c>
      <c r="C79" s="247">
        <f t="shared" si="0"/>
        <v>454630.15892076533</v>
      </c>
      <c r="D79" s="247">
        <f>D78*(1+D$83)</f>
        <v>686300.03129919025</v>
      </c>
    </row>
    <row r="82" spans="2:4" x14ac:dyDescent="0.25">
      <c r="B82" s="133" t="s">
        <v>574</v>
      </c>
      <c r="C82" s="133">
        <f>'Model Controls'!$F$4</f>
        <v>8</v>
      </c>
      <c r="D82" s="133">
        <f>'Model Controls'!$F$4</f>
        <v>8</v>
      </c>
    </row>
    <row r="83" spans="2:4" x14ac:dyDescent="0.25">
      <c r="B83" s="255" t="s">
        <v>575</v>
      </c>
      <c r="C83" s="538">
        <f>INDEX('Model Inputs'!$D$63:$H$63,MATCH('IF_MFTE Calculations'!$C$20,'Model Inputs'!$D$3:$H$3,0))</f>
        <v>0.01</v>
      </c>
      <c r="D83" s="538">
        <f>INDEX('Model Inputs'!$D$63:$H$63,MATCH('IF_MFTE Calculations'!$C$20,'Model Inputs'!$D$3:$H$3,0))</f>
        <v>0.01</v>
      </c>
    </row>
    <row r="84" spans="2:4" ht="27.6" x14ac:dyDescent="0.25">
      <c r="B84" s="582" t="s">
        <v>576</v>
      </c>
      <c r="C84" s="583">
        <f>INDEX('Model Inputs'!$D$65:$H$65,MATCH('IF_MFTE Calculations'!$C$20,'Model Inputs'!$D$3:$H$3,0))+1.25%</f>
        <v>0.06</v>
      </c>
      <c r="D84" s="583">
        <f>INDEX('Model Inputs'!$D$65:$H$65,MATCH('IF_MFTE Calculations'!$C$20,'Model Inputs'!$D$3:$H$3,0))+1.25%</f>
        <v>0.06</v>
      </c>
    </row>
    <row r="85" spans="2:4" x14ac:dyDescent="0.25">
      <c r="B85" s="133" t="s">
        <v>577</v>
      </c>
      <c r="C85" s="194">
        <f>NPV(C84,IF($B60&lt;=$C$82,C60,0),IF($B61&lt;=$C$82,C61,0),IF($B62&lt;=$C$82,C62,0),IF($B63&lt;=$C$82,C63,0),IF($B64&lt;=$C$82,C64,0),IF($B65&lt;=$C$82,C65,0),IF($B66&lt;=$C$82,C66,0),IF($B67&lt;=$C$82,C67,0),IF($B68&lt;=$C$82,C68,0),IF($B69&lt;=$C$82,C69,0),IF($B70&lt;=$C$82,C70,0),IF($B71&lt;=$C$82,C71,0),IF($B72&lt;=$C$82,C72,0),IF($B73&lt;=$C$82,C73,0),IF($B74&lt;=$C$82,C74,0),IF($B75&lt;=$C$82,C75,0),IF($B76&lt;=$C$82,C76,0),IF($B77&lt;=$C$82,C77,0),IF($B78&lt;=$C$82,C78,0),IF($B79&lt;=$C$82,C79,0))</f>
        <v>2412952.5321414159</v>
      </c>
      <c r="D85" s="194">
        <f>NPV(D84,IF($B60&lt;=$C$82,D60,0),IF($B61&lt;=$C$82,D61,0),IF($B62&lt;=$C$82,D62,0),IF($B63&lt;=$C$82,D63,0),IF($B64&lt;=$C$82,D64,0),IF($B65&lt;=$C$82,D65,0),IF($B66&lt;=$C$82,D66,0),IF($B67&lt;=$C$82,D67,0),IF($B68&lt;=$C$82,D68,0),IF($B69&lt;=$C$82,D69,0),IF($B70&lt;=$C$82,D70,0),IF($B71&lt;=$C$82,D71,0),IF($B72&lt;=$C$82,D72,0),IF($B73&lt;=$C$82,D73,0),IF($B74&lt;=$C$82,D74,0),IF($B75&lt;=$C$82,D75,0),IF($B76&lt;=$C$82,D76,0),IF($B77&lt;=$C$82,D77,0),IF($B78&lt;=$C$82,D78,0),IF($B79&lt;=$C$82,D79,0))</f>
        <v>3642541.8900129101</v>
      </c>
    </row>
  </sheetData>
  <mergeCells count="1">
    <mergeCell ref="B53:F5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14A7-8742-454D-A32F-96FE0C4F2B92}">
  <sheetPr codeName="Sheet19">
    <tabColor theme="0" tint="-0.499984740745262"/>
  </sheetPr>
  <dimension ref="B1:X11"/>
  <sheetViews>
    <sheetView topLeftCell="D1" workbookViewId="0">
      <selection activeCell="X4" sqref="X4"/>
    </sheetView>
  </sheetViews>
  <sheetFormatPr defaultColWidth="8.69921875" defaultRowHeight="13.8" x14ac:dyDescent="0.25"/>
  <cols>
    <col min="1" max="1" width="8.69921875" style="133"/>
    <col min="2" max="2" width="28.8984375" style="133" bestFit="1" customWidth="1"/>
    <col min="3" max="3" width="3.59765625" style="133" customWidth="1"/>
    <col min="4" max="4" width="8.69921875" style="133"/>
    <col min="5" max="6" width="17.3984375" style="133" customWidth="1"/>
    <col min="7" max="7" width="8.09765625" style="133" customWidth="1"/>
    <col min="8" max="8" width="4.09765625" style="133" customWidth="1"/>
    <col min="9" max="9" width="16.3984375" style="133" bestFit="1" customWidth="1"/>
    <col min="10" max="10" width="8.69921875" style="133"/>
    <col min="11" max="11" width="2.69921875" style="133" customWidth="1"/>
    <col min="12" max="12" width="26.5" style="133" bestFit="1" customWidth="1"/>
    <col min="13" max="13" width="10.19921875" style="133" bestFit="1" customWidth="1"/>
    <col min="14" max="14" width="6.3984375" style="133" bestFit="1" customWidth="1"/>
    <col min="15" max="17" width="8.69921875" style="133"/>
    <col min="18" max="18" width="14.5" style="133" bestFit="1" customWidth="1"/>
    <col min="19" max="19" width="22" style="133" bestFit="1" customWidth="1"/>
    <col min="20" max="16384" width="8.69921875" style="133"/>
  </cols>
  <sheetData>
    <row r="1" spans="2:24" x14ac:dyDescent="0.25">
      <c r="B1" s="133" t="s">
        <v>525</v>
      </c>
      <c r="D1" s="186" t="s">
        <v>213</v>
      </c>
      <c r="E1" s="186" t="s">
        <v>526</v>
      </c>
      <c r="F1" s="186" t="s">
        <v>527</v>
      </c>
      <c r="G1" s="186" t="s">
        <v>102</v>
      </c>
      <c r="I1" s="133" t="s">
        <v>108</v>
      </c>
      <c r="J1" s="133" t="s">
        <v>528</v>
      </c>
      <c r="L1" s="133" t="s">
        <v>207</v>
      </c>
      <c r="N1" s="133" t="s">
        <v>529</v>
      </c>
      <c r="P1" s="133" t="s">
        <v>156</v>
      </c>
      <c r="R1" s="133" t="s">
        <v>211</v>
      </c>
      <c r="S1" s="133" t="s">
        <v>530</v>
      </c>
      <c r="T1" s="133" t="s">
        <v>531</v>
      </c>
      <c r="W1" s="133" t="s">
        <v>134</v>
      </c>
      <c r="X1" s="133">
        <v>8</v>
      </c>
    </row>
    <row r="2" spans="2:24" x14ac:dyDescent="0.25">
      <c r="B2" s="133" t="s">
        <v>125</v>
      </c>
      <c r="D2" s="154">
        <v>0.15</v>
      </c>
      <c r="E2" s="154">
        <v>0.05</v>
      </c>
      <c r="F2" s="154">
        <v>0.15</v>
      </c>
      <c r="G2" s="154">
        <v>0.8</v>
      </c>
      <c r="I2" s="133" t="s">
        <v>285</v>
      </c>
      <c r="J2" s="133">
        <v>0</v>
      </c>
      <c r="L2" s="133" t="s">
        <v>166</v>
      </c>
      <c r="M2" s="133">
        <v>0.75</v>
      </c>
      <c r="N2" s="133" t="s">
        <v>532</v>
      </c>
      <c r="P2" s="133" t="s">
        <v>338</v>
      </c>
      <c r="R2" s="133" t="s">
        <v>125</v>
      </c>
      <c r="S2" s="99">
        <v>0.19</v>
      </c>
      <c r="T2" s="99">
        <v>0.48</v>
      </c>
      <c r="W2" s="133" t="s">
        <v>136</v>
      </c>
      <c r="X2" s="133">
        <v>12</v>
      </c>
    </row>
    <row r="3" spans="2:24" x14ac:dyDescent="0.25">
      <c r="B3" s="133" t="s">
        <v>126</v>
      </c>
      <c r="D3" s="187">
        <v>0.1</v>
      </c>
      <c r="E3" s="187">
        <v>0.03</v>
      </c>
      <c r="F3" s="154">
        <v>0.1</v>
      </c>
      <c r="G3" s="154">
        <v>0.6</v>
      </c>
      <c r="I3" s="133" t="s">
        <v>533</v>
      </c>
      <c r="J3" s="133">
        <v>0</v>
      </c>
      <c r="L3" s="133" t="s">
        <v>534</v>
      </c>
      <c r="M3" s="133">
        <v>3.5</v>
      </c>
      <c r="N3" s="133" t="s">
        <v>535</v>
      </c>
      <c r="P3" s="133" t="s">
        <v>327</v>
      </c>
      <c r="R3" s="133" t="s">
        <v>126</v>
      </c>
      <c r="S3" s="99">
        <v>0.15</v>
      </c>
      <c r="T3" s="99">
        <v>0.37</v>
      </c>
      <c r="X3" s="133">
        <v>20</v>
      </c>
    </row>
    <row r="4" spans="2:24" x14ac:dyDescent="0.25">
      <c r="B4" s="133" t="s">
        <v>128</v>
      </c>
      <c r="D4" s="187">
        <v>7.0000000000000007E-2</v>
      </c>
      <c r="E4" s="187">
        <v>0.02</v>
      </c>
      <c r="F4" s="154">
        <v>7.0000000000000007E-2</v>
      </c>
      <c r="G4" s="154">
        <v>0.5</v>
      </c>
      <c r="I4" s="133" t="s">
        <v>536</v>
      </c>
      <c r="J4" s="133">
        <v>0</v>
      </c>
      <c r="L4" s="133" t="s">
        <v>160</v>
      </c>
      <c r="M4" s="133">
        <v>2</v>
      </c>
      <c r="N4" s="133" t="s">
        <v>537</v>
      </c>
      <c r="P4" s="133" t="s">
        <v>538</v>
      </c>
      <c r="R4" s="133" t="s">
        <v>128</v>
      </c>
      <c r="S4" s="99">
        <v>0.15</v>
      </c>
      <c r="T4" s="99">
        <v>0.37</v>
      </c>
    </row>
    <row r="5" spans="2:24" x14ac:dyDescent="0.25">
      <c r="B5" s="133" t="s">
        <v>130</v>
      </c>
      <c r="D5" s="187">
        <v>0.05</v>
      </c>
      <c r="E5" s="187">
        <v>0</v>
      </c>
      <c r="F5" s="154">
        <v>0.05</v>
      </c>
      <c r="G5" s="154">
        <v>0</v>
      </c>
      <c r="I5" s="133" t="s">
        <v>308</v>
      </c>
      <c r="J5" s="133">
        <v>2</v>
      </c>
      <c r="L5" s="133" t="s">
        <v>539</v>
      </c>
      <c r="M5" s="133">
        <v>2</v>
      </c>
      <c r="N5" s="133" t="s">
        <v>540</v>
      </c>
      <c r="R5" s="133" t="s">
        <v>130</v>
      </c>
      <c r="S5" s="99">
        <v>0</v>
      </c>
      <c r="T5" s="99">
        <v>0.37</v>
      </c>
    </row>
    <row r="6" spans="2:24" x14ac:dyDescent="0.25">
      <c r="B6" s="133" t="s">
        <v>132</v>
      </c>
      <c r="D6" s="187">
        <v>0</v>
      </c>
      <c r="F6" s="154">
        <v>0.03</v>
      </c>
      <c r="I6" s="133" t="s">
        <v>307</v>
      </c>
      <c r="J6" s="133">
        <v>1</v>
      </c>
      <c r="L6" s="133" t="s">
        <v>541</v>
      </c>
      <c r="R6" s="133" t="s">
        <v>132</v>
      </c>
      <c r="S6" s="99">
        <v>0</v>
      </c>
      <c r="T6" s="99">
        <v>0.37</v>
      </c>
    </row>
    <row r="7" spans="2:24" x14ac:dyDescent="0.25">
      <c r="F7" s="154">
        <v>0</v>
      </c>
    </row>
    <row r="10" spans="2:24" x14ac:dyDescent="0.25">
      <c r="B10" s="133" t="s">
        <v>542</v>
      </c>
    </row>
    <row r="11" spans="2:24" x14ac:dyDescent="0.25">
      <c r="B11" s="360" t="s">
        <v>543</v>
      </c>
    </row>
  </sheetData>
  <phoneticPr fontId="4" type="noConversion"/>
  <hyperlinks>
    <hyperlink ref="B11" r:id="rId1" xr:uid="{54933AE7-C85A-4649-A4C7-B1440F07E2D6}"/>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5EDE-587F-43A8-8138-6EEFC8D4FD86}">
  <sheetPr codeName="Sheet25"/>
  <dimension ref="B4:G19"/>
  <sheetViews>
    <sheetView workbookViewId="0">
      <selection activeCell="C7" sqref="C7:E10"/>
    </sheetView>
  </sheetViews>
  <sheetFormatPr defaultColWidth="8.69921875" defaultRowHeight="13.8" x14ac:dyDescent="0.25"/>
  <cols>
    <col min="1" max="1" width="8.69921875" style="133"/>
    <col min="2" max="2" width="17.5" style="133" bestFit="1" customWidth="1"/>
    <col min="3" max="16384" width="8.69921875" style="133"/>
  </cols>
  <sheetData>
    <row r="4" spans="2:7" ht="14.4" thickBot="1" x14ac:dyDescent="0.3">
      <c r="B4" s="418" t="s">
        <v>502</v>
      </c>
    </row>
    <row r="5" spans="2:7" ht="69" x14ac:dyDescent="0.25">
      <c r="B5" s="263" t="s">
        <v>10</v>
      </c>
      <c r="C5" s="262" t="s">
        <v>125</v>
      </c>
      <c r="D5" s="262" t="s">
        <v>126</v>
      </c>
      <c r="E5" s="262" t="s">
        <v>128</v>
      </c>
      <c r="F5" s="262" t="s">
        <v>130</v>
      </c>
      <c r="G5" s="262" t="s">
        <v>132</v>
      </c>
    </row>
    <row r="6" spans="2:7" x14ac:dyDescent="0.25">
      <c r="B6" s="83" t="s">
        <v>332</v>
      </c>
      <c r="C6" s="83"/>
      <c r="D6" s="83"/>
      <c r="E6" s="83"/>
      <c r="F6" s="83"/>
      <c r="G6" s="83"/>
    </row>
    <row r="7" spans="2:7" x14ac:dyDescent="0.25">
      <c r="B7" s="117" t="s">
        <v>146</v>
      </c>
      <c r="C7" s="539">
        <v>4.5</v>
      </c>
      <c r="D7" s="539">
        <v>4.2</v>
      </c>
      <c r="E7" s="539">
        <v>4.5</v>
      </c>
      <c r="F7" s="539" t="s">
        <v>324</v>
      </c>
      <c r="G7" s="539" t="s">
        <v>324</v>
      </c>
    </row>
    <row r="8" spans="2:7" x14ac:dyDescent="0.25">
      <c r="B8" s="117" t="s">
        <v>148</v>
      </c>
      <c r="C8" s="539">
        <v>4.2</v>
      </c>
      <c r="D8" s="539">
        <v>3.85</v>
      </c>
      <c r="E8" s="539">
        <v>4.2</v>
      </c>
      <c r="F8" s="539" t="s">
        <v>324</v>
      </c>
      <c r="G8" s="539" t="s">
        <v>324</v>
      </c>
    </row>
    <row r="9" spans="2:7" x14ac:dyDescent="0.25">
      <c r="B9" s="117" t="s">
        <v>149</v>
      </c>
      <c r="C9" s="539">
        <v>3.85</v>
      </c>
      <c r="D9" s="539">
        <v>3.65</v>
      </c>
      <c r="E9" s="539">
        <v>3.85</v>
      </c>
      <c r="F9" s="539" t="s">
        <v>324</v>
      </c>
      <c r="G9" s="539" t="s">
        <v>324</v>
      </c>
    </row>
    <row r="10" spans="2:7" ht="14.4" thickBot="1" x14ac:dyDescent="0.3">
      <c r="B10" s="158" t="s">
        <v>150</v>
      </c>
      <c r="C10" s="540">
        <v>3.65</v>
      </c>
      <c r="D10" s="540">
        <v>3.45</v>
      </c>
      <c r="E10" s="540">
        <v>3.65</v>
      </c>
      <c r="F10" s="540" t="s">
        <v>324</v>
      </c>
      <c r="G10" s="540" t="s">
        <v>324</v>
      </c>
    </row>
    <row r="13" spans="2:7" ht="14.4" thickBot="1" x14ac:dyDescent="0.3">
      <c r="B13" s="418" t="s">
        <v>578</v>
      </c>
    </row>
    <row r="14" spans="2:7" ht="69" x14ac:dyDescent="0.25">
      <c r="B14" s="263" t="s">
        <v>10</v>
      </c>
      <c r="C14" s="262" t="s">
        <v>125</v>
      </c>
      <c r="D14" s="262" t="s">
        <v>126</v>
      </c>
      <c r="E14" s="262" t="s">
        <v>128</v>
      </c>
      <c r="F14" s="262" t="s">
        <v>130</v>
      </c>
      <c r="G14" s="262" t="s">
        <v>132</v>
      </c>
    </row>
    <row r="15" spans="2:7" x14ac:dyDescent="0.25">
      <c r="B15" s="83" t="s">
        <v>332</v>
      </c>
      <c r="C15" s="83"/>
      <c r="D15" s="83"/>
      <c r="E15" s="83"/>
      <c r="F15" s="83"/>
      <c r="G15" s="83"/>
    </row>
    <row r="16" spans="2:7" x14ac:dyDescent="0.25">
      <c r="B16" s="117" t="s">
        <v>146</v>
      </c>
      <c r="C16" s="539">
        <v>6.25</v>
      </c>
      <c r="D16" s="539">
        <v>5.25</v>
      </c>
      <c r="E16" s="539">
        <v>6.25</v>
      </c>
      <c r="F16" s="539" t="s">
        <v>324</v>
      </c>
      <c r="G16" s="539" t="s">
        <v>324</v>
      </c>
    </row>
    <row r="17" spans="2:7" x14ac:dyDescent="0.25">
      <c r="B17" s="117" t="s">
        <v>148</v>
      </c>
      <c r="C17" s="539">
        <v>6</v>
      </c>
      <c r="D17" s="539">
        <v>5</v>
      </c>
      <c r="E17" s="539">
        <v>6</v>
      </c>
      <c r="F17" s="539" t="s">
        <v>324</v>
      </c>
      <c r="G17" s="539" t="s">
        <v>324</v>
      </c>
    </row>
    <row r="18" spans="2:7" x14ac:dyDescent="0.25">
      <c r="B18" s="117" t="s">
        <v>149</v>
      </c>
      <c r="C18" s="539">
        <v>5.9</v>
      </c>
      <c r="D18" s="539">
        <v>4.9000000000000004</v>
      </c>
      <c r="E18" s="539">
        <v>5.9</v>
      </c>
      <c r="F18" s="539" t="s">
        <v>324</v>
      </c>
      <c r="G18" s="539" t="s">
        <v>324</v>
      </c>
    </row>
    <row r="19" spans="2:7" ht="14.4" thickBot="1" x14ac:dyDescent="0.3">
      <c r="B19" s="158" t="s">
        <v>150</v>
      </c>
      <c r="C19" s="540">
        <v>5.75</v>
      </c>
      <c r="D19" s="540">
        <v>4.75</v>
      </c>
      <c r="E19" s="540">
        <v>5.75</v>
      </c>
      <c r="F19" s="540" t="s">
        <v>324</v>
      </c>
      <c r="G19" s="540" t="s">
        <v>324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3A69-F299-4052-90EA-D476D2110C48}">
  <sheetPr codeName="Sheet26"/>
  <dimension ref="C3:R38"/>
  <sheetViews>
    <sheetView workbookViewId="0">
      <selection activeCell="Q18" sqref="Q18:S32"/>
    </sheetView>
  </sheetViews>
  <sheetFormatPr defaultColWidth="8.69921875" defaultRowHeight="13.8" x14ac:dyDescent="0.25"/>
  <cols>
    <col min="1" max="2" width="8.69921875" style="133"/>
    <col min="3" max="3" width="22.19921875" style="133" customWidth="1"/>
    <col min="4" max="4" width="16.3984375" style="133" customWidth="1"/>
    <col min="5" max="5" width="15.3984375" style="133" bestFit="1" customWidth="1"/>
    <col min="6" max="6" width="15" style="133" customWidth="1"/>
    <col min="7" max="7" width="1" style="133" customWidth="1"/>
    <col min="8" max="8" width="6.5" style="133" bestFit="1" customWidth="1"/>
    <col min="9" max="9" width="6.8984375" style="133" bestFit="1" customWidth="1"/>
    <col min="10" max="10" width="0.8984375" style="133" customWidth="1"/>
    <col min="11" max="12" width="12.5" style="133" bestFit="1" customWidth="1"/>
    <col min="13" max="13" width="15.3984375" style="133" bestFit="1" customWidth="1"/>
    <col min="14" max="14" width="1.19921875" style="133" customWidth="1"/>
    <col min="15" max="15" width="6.5" style="133" bestFit="1" customWidth="1"/>
    <col min="16" max="16" width="8.19921875" style="133" bestFit="1" customWidth="1"/>
    <col min="17" max="17" width="4.3984375" style="133" bestFit="1" customWidth="1"/>
    <col min="18" max="16384" width="8.69921875" style="133"/>
  </cols>
  <sheetData>
    <row r="3" spans="3:16" x14ac:dyDescent="0.25">
      <c r="C3" s="153" t="s">
        <v>579</v>
      </c>
    </row>
    <row r="4" spans="3:16" ht="30" customHeight="1" x14ac:dyDescent="0.25">
      <c r="H4" s="637" t="s">
        <v>580</v>
      </c>
      <c r="I4" s="637"/>
      <c r="J4" s="430"/>
    </row>
    <row r="5" spans="3:16" x14ac:dyDescent="0.25">
      <c r="D5" s="186" t="s">
        <v>139</v>
      </c>
      <c r="E5" s="186" t="s">
        <v>214</v>
      </c>
      <c r="F5" s="186" t="s">
        <v>215</v>
      </c>
      <c r="G5" s="186"/>
      <c r="H5" s="186" t="s">
        <v>214</v>
      </c>
      <c r="I5" s="186" t="s">
        <v>215</v>
      </c>
      <c r="J5" s="186"/>
    </row>
    <row r="6" spans="3:16" x14ac:dyDescent="0.25">
      <c r="C6" s="133" t="s">
        <v>375</v>
      </c>
      <c r="D6" s="194">
        <f>Model_Baseline!K16</f>
        <v>3497597.6</v>
      </c>
      <c r="E6" s="194">
        <f>Model_Scenario_Base!K16</f>
        <v>3417068.2280000001</v>
      </c>
      <c r="F6" s="194">
        <f>Model_Scenario_Max!K16</f>
        <v>5198646.04</v>
      </c>
      <c r="G6" s="194"/>
      <c r="H6" s="515">
        <f t="shared" ref="H6:I8" si="0">(E6-$D6)/$D6</f>
        <v>-2.3024195808002607E-2</v>
      </c>
      <c r="I6" s="515">
        <f t="shared" si="0"/>
        <v>0.48634766904002907</v>
      </c>
      <c r="J6" s="515"/>
    </row>
    <row r="7" spans="3:16" x14ac:dyDescent="0.25">
      <c r="C7" s="133" t="s">
        <v>581</v>
      </c>
      <c r="D7" s="194">
        <f>Model_Baseline!K37</f>
        <v>76756948.31404689</v>
      </c>
      <c r="E7" s="194">
        <f>Model_Scenario_Base!K37</f>
        <v>76756948.31404689</v>
      </c>
      <c r="F7" s="194">
        <f>Model_Scenario_Max!K40</f>
        <v>120377341.35393751</v>
      </c>
      <c r="G7" s="194"/>
      <c r="H7" s="515">
        <f t="shared" si="0"/>
        <v>0</v>
      </c>
      <c r="I7" s="515">
        <f t="shared" si="0"/>
        <v>0.56829243473073143</v>
      </c>
      <c r="J7" s="515"/>
    </row>
    <row r="8" spans="3:16" x14ac:dyDescent="0.25">
      <c r="C8" s="133" t="s">
        <v>582</v>
      </c>
      <c r="D8" s="194">
        <f>Model_Baseline!K39</f>
        <v>86056948.31404689</v>
      </c>
      <c r="E8" s="194">
        <f>Model_Scenario_Base!K39</f>
        <v>86056948.31404689</v>
      </c>
      <c r="F8" s="194">
        <f>Model_Scenario_Max!K42</f>
        <v>129677341.35393751</v>
      </c>
      <c r="G8" s="194"/>
      <c r="H8" s="515">
        <f t="shared" si="0"/>
        <v>0</v>
      </c>
      <c r="I8" s="515">
        <f t="shared" si="0"/>
        <v>0.50687822301933239</v>
      </c>
      <c r="J8" s="515"/>
    </row>
    <row r="9" spans="3:16" ht="4.95" customHeight="1" x14ac:dyDescent="0.25"/>
    <row r="10" spans="3:16" x14ac:dyDescent="0.25">
      <c r="C10" s="133" t="s">
        <v>583</v>
      </c>
      <c r="D10" s="194">
        <f>(D6/0.0475)-D7</f>
        <v>-3123314.6298363656</v>
      </c>
      <c r="E10" s="194">
        <f>(E6/0.0475)-E7</f>
        <v>-4818669.8298363686</v>
      </c>
      <c r="F10" s="194">
        <f>(F6/0.0475)-F7</f>
        <v>-10932161.564463824</v>
      </c>
      <c r="G10" s="194"/>
    </row>
    <row r="11" spans="3:16" x14ac:dyDescent="0.25">
      <c r="C11" s="133" t="s">
        <v>584</v>
      </c>
      <c r="D11" s="515">
        <f>D6/D8</f>
        <v>4.0642826274018537E-2</v>
      </c>
      <c r="E11" s="515">
        <f t="shared" ref="E11:F11" si="1">E6/E8</f>
        <v>3.9707057883694899E-2</v>
      </c>
      <c r="F11" s="515">
        <f t="shared" si="1"/>
        <v>4.0089085616051991E-2</v>
      </c>
      <c r="G11" s="515"/>
    </row>
    <row r="14" spans="3:16" ht="14.4" thickBot="1" x14ac:dyDescent="0.3">
      <c r="C14" s="153" t="s">
        <v>125</v>
      </c>
    </row>
    <row r="15" spans="3:16" x14ac:dyDescent="0.25">
      <c r="C15" s="531"/>
      <c r="D15" s="604" t="s">
        <v>220</v>
      </c>
      <c r="E15" s="604"/>
      <c r="F15" s="604"/>
      <c r="G15" s="604"/>
      <c r="H15" s="604"/>
      <c r="I15" s="604"/>
      <c r="J15" s="511"/>
      <c r="K15" s="604" t="s">
        <v>585</v>
      </c>
      <c r="L15" s="604"/>
      <c r="M15" s="604"/>
      <c r="N15" s="604"/>
      <c r="O15" s="604"/>
      <c r="P15" s="604"/>
    </row>
    <row r="16" spans="3:16" ht="28.95" customHeight="1" x14ac:dyDescent="0.25">
      <c r="D16" s="607" t="s">
        <v>586</v>
      </c>
      <c r="E16" s="607"/>
      <c r="F16" s="607"/>
      <c r="G16" s="543"/>
      <c r="H16" s="636" t="s">
        <v>580</v>
      </c>
      <c r="I16" s="636"/>
      <c r="J16" s="542"/>
      <c r="K16" s="607" t="s">
        <v>586</v>
      </c>
      <c r="L16" s="607"/>
      <c r="M16" s="607"/>
      <c r="N16" s="460"/>
      <c r="O16" s="636" t="s">
        <v>580</v>
      </c>
      <c r="P16" s="636"/>
    </row>
    <row r="17" spans="3:18" x14ac:dyDescent="0.25">
      <c r="C17" s="253"/>
      <c r="D17" s="408" t="s">
        <v>139</v>
      </c>
      <c r="E17" s="408" t="s">
        <v>214</v>
      </c>
      <c r="F17" s="408" t="s">
        <v>215</v>
      </c>
      <c r="G17" s="408"/>
      <c r="H17" s="408" t="s">
        <v>214</v>
      </c>
      <c r="I17" s="408" t="s">
        <v>215</v>
      </c>
      <c r="J17" s="408"/>
      <c r="K17" s="408" t="s">
        <v>139</v>
      </c>
      <c r="L17" s="408" t="s">
        <v>214</v>
      </c>
      <c r="M17" s="408" t="s">
        <v>215</v>
      </c>
      <c r="N17" s="408"/>
      <c r="O17" s="408" t="s">
        <v>214</v>
      </c>
      <c r="P17" s="408" t="s">
        <v>215</v>
      </c>
    </row>
    <row r="18" spans="3:18" x14ac:dyDescent="0.25">
      <c r="C18" s="250" t="s">
        <v>375</v>
      </c>
      <c r="D18" s="544">
        <v>21535830.399999999</v>
      </c>
      <c r="E18" s="544">
        <v>20874807.100000001</v>
      </c>
      <c r="F18" s="544">
        <v>35854945.980000004</v>
      </c>
      <c r="G18" s="544"/>
      <c r="H18" s="547">
        <v>-3.0694117093343985E-2</v>
      </c>
      <c r="I18" s="547">
        <v>0.66489730435470029</v>
      </c>
      <c r="J18" s="545"/>
      <c r="K18" s="544">
        <v>30155766.550000001</v>
      </c>
      <c r="L18" s="544">
        <v>28634299.75</v>
      </c>
      <c r="M18" s="544">
        <v>47450165.280000001</v>
      </c>
      <c r="N18" s="544"/>
      <c r="O18" s="547">
        <v>-5.0453593924641944E-2</v>
      </c>
      <c r="P18" s="547">
        <v>0.5735022089829781</v>
      </c>
      <c r="Q18" s="154"/>
      <c r="R18" s="154"/>
    </row>
    <row r="19" spans="3:18" x14ac:dyDescent="0.25">
      <c r="C19" s="133" t="s">
        <v>581</v>
      </c>
      <c r="D19" s="194">
        <v>437105188.40625</v>
      </c>
      <c r="E19" s="194">
        <v>437105188.40625</v>
      </c>
      <c r="F19" s="194">
        <v>803521801.93359375</v>
      </c>
      <c r="G19" s="194"/>
      <c r="H19" s="538">
        <v>0</v>
      </c>
      <c r="I19" s="538">
        <v>0.8382801743062186</v>
      </c>
      <c r="J19" s="515"/>
      <c r="K19" s="194">
        <v>437105188.40625</v>
      </c>
      <c r="L19" s="194">
        <v>437105188.40625</v>
      </c>
      <c r="M19" s="194">
        <v>803521801.93359375</v>
      </c>
      <c r="N19" s="194"/>
      <c r="O19" s="538">
        <v>0</v>
      </c>
      <c r="P19" s="538">
        <v>0.8382801743062186</v>
      </c>
    </row>
    <row r="20" spans="3:18" x14ac:dyDescent="0.25">
      <c r="C20" s="250" t="s">
        <v>582</v>
      </c>
      <c r="D20" s="544">
        <v>462305188.40625</v>
      </c>
      <c r="E20" s="544">
        <v>462305188.40625</v>
      </c>
      <c r="F20" s="544">
        <v>828721801.93359375</v>
      </c>
      <c r="G20" s="544"/>
      <c r="H20" s="547">
        <v>0</v>
      </c>
      <c r="I20" s="547">
        <v>0.79258598587337437</v>
      </c>
      <c r="J20" s="545"/>
      <c r="K20" s="544">
        <v>462305188.40625</v>
      </c>
      <c r="L20" s="544">
        <v>462305188.40625</v>
      </c>
      <c r="M20" s="544">
        <v>828721801.93359375</v>
      </c>
      <c r="N20" s="544"/>
      <c r="O20" s="547">
        <v>0</v>
      </c>
      <c r="P20" s="547">
        <v>0.79258598587337437</v>
      </c>
    </row>
    <row r="21" spans="3:18" ht="4.2" customHeight="1" x14ac:dyDescent="0.25"/>
    <row r="22" spans="3:18" x14ac:dyDescent="0.25">
      <c r="C22" s="153" t="s">
        <v>583</v>
      </c>
      <c r="D22" s="399">
        <v>16280714.751644671</v>
      </c>
      <c r="E22" s="399">
        <v>2364434.7516447902</v>
      </c>
      <c r="F22" s="399">
        <v>-48680833.933593631</v>
      </c>
      <c r="G22" s="399"/>
      <c r="H22" s="153"/>
      <c r="I22" s="153"/>
      <c r="J22" s="153"/>
      <c r="K22" s="399">
        <v>197753054.75164473</v>
      </c>
      <c r="L22" s="399">
        <v>165722174.75164473</v>
      </c>
      <c r="M22" s="399">
        <v>195429046.06640625</v>
      </c>
      <c r="N22" s="399"/>
      <c r="O22" s="153"/>
      <c r="P22" s="153"/>
    </row>
    <row r="23" spans="3:18" ht="14.4" thickBot="1" x14ac:dyDescent="0.3">
      <c r="C23" s="251" t="s">
        <v>584</v>
      </c>
      <c r="D23" s="546">
        <v>4.6583579289349052E-2</v>
      </c>
      <c r="E23" s="546">
        <v>4.5153737452014696E-2</v>
      </c>
      <c r="F23" s="546">
        <v>4.3265358647911006E-2</v>
      </c>
      <c r="G23" s="546"/>
      <c r="H23" s="251"/>
      <c r="I23" s="251"/>
      <c r="J23" s="251"/>
      <c r="K23" s="546">
        <v>6.5229132846116075E-2</v>
      </c>
      <c r="L23" s="546">
        <v>6.1938088665441607E-2</v>
      </c>
      <c r="M23" s="546">
        <v>5.7257049554251052E-2</v>
      </c>
      <c r="N23" s="546"/>
      <c r="O23" s="251"/>
      <c r="P23" s="251"/>
    </row>
    <row r="25" spans="3:18" ht="14.4" thickBot="1" x14ac:dyDescent="0.3">
      <c r="C25" s="153" t="s">
        <v>587</v>
      </c>
    </row>
    <row r="26" spans="3:18" x14ac:dyDescent="0.25">
      <c r="C26" s="531"/>
      <c r="D26" s="604" t="s">
        <v>220</v>
      </c>
      <c r="E26" s="604"/>
      <c r="F26" s="604"/>
      <c r="G26" s="604"/>
      <c r="H26" s="604"/>
      <c r="I26" s="604"/>
      <c r="J26" s="511"/>
      <c r="K26" s="604" t="s">
        <v>220</v>
      </c>
      <c r="L26" s="604"/>
      <c r="M26" s="604"/>
      <c r="N26" s="604"/>
      <c r="O26" s="604"/>
      <c r="P26" s="604"/>
    </row>
    <row r="27" spans="3:18" ht="13.95" customHeight="1" x14ac:dyDescent="0.25">
      <c r="D27" s="607" t="s">
        <v>586</v>
      </c>
      <c r="E27" s="607"/>
      <c r="F27" s="607"/>
      <c r="G27" s="543"/>
      <c r="H27" s="636" t="s">
        <v>580</v>
      </c>
      <c r="I27" s="636"/>
      <c r="J27" s="542"/>
      <c r="K27" s="607" t="s">
        <v>586</v>
      </c>
      <c r="L27" s="607"/>
      <c r="M27" s="607"/>
      <c r="N27" s="460"/>
      <c r="O27" s="636" t="s">
        <v>580</v>
      </c>
      <c r="P27" s="636"/>
    </row>
    <row r="28" spans="3:18" x14ac:dyDescent="0.25">
      <c r="C28" s="253"/>
      <c r="D28" s="408" t="s">
        <v>139</v>
      </c>
      <c r="E28" s="408" t="s">
        <v>214</v>
      </c>
      <c r="F28" s="408" t="s">
        <v>215</v>
      </c>
      <c r="G28" s="408"/>
      <c r="H28" s="408" t="s">
        <v>214</v>
      </c>
      <c r="I28" s="408" t="s">
        <v>215</v>
      </c>
      <c r="J28" s="408"/>
      <c r="K28" s="408" t="s">
        <v>139</v>
      </c>
      <c r="L28" s="408" t="s">
        <v>214</v>
      </c>
      <c r="M28" s="408" t="s">
        <v>215</v>
      </c>
      <c r="N28" s="408"/>
      <c r="O28" s="408" t="s">
        <v>214</v>
      </c>
      <c r="P28" s="408" t="s">
        <v>215</v>
      </c>
    </row>
    <row r="29" spans="3:18" x14ac:dyDescent="0.25">
      <c r="C29" s="250" t="s">
        <v>375</v>
      </c>
      <c r="D29" s="544">
        <v>3403832.6</v>
      </c>
      <c r="E29" s="544">
        <v>3322871.51</v>
      </c>
      <c r="F29" s="544">
        <v>4399593.45</v>
      </c>
      <c r="G29" s="544"/>
      <c r="H29" s="547">
        <v>-2.3785273694129468E-2</v>
      </c>
      <c r="I29" s="547">
        <v>0.29254107560988751</v>
      </c>
      <c r="J29" s="545"/>
      <c r="K29" s="544">
        <v>4238061.8</v>
      </c>
      <c r="L29" s="544">
        <v>4071874.3099999996</v>
      </c>
      <c r="M29" s="544">
        <v>5387557.3499999996</v>
      </c>
      <c r="N29" s="544"/>
      <c r="O29" s="547">
        <v>-3.9213087926183672E-2</v>
      </c>
      <c r="P29" s="547">
        <v>0.27123142706413572</v>
      </c>
      <c r="Q29" s="154"/>
      <c r="R29" s="154"/>
    </row>
    <row r="30" spans="3:18" x14ac:dyDescent="0.25">
      <c r="C30" s="133" t="s">
        <v>581</v>
      </c>
      <c r="D30" s="194">
        <v>56855489.90625</v>
      </c>
      <c r="E30" s="194">
        <v>56855489.90625</v>
      </c>
      <c r="F30" s="194">
        <v>85914255.65625</v>
      </c>
      <c r="G30" s="194"/>
      <c r="H30" s="538">
        <v>0</v>
      </c>
      <c r="I30" s="538">
        <v>0.51109867838471712</v>
      </c>
      <c r="J30" s="515"/>
      <c r="K30" s="194">
        <v>56855489.90625</v>
      </c>
      <c r="L30" s="194">
        <v>56855489.90625</v>
      </c>
      <c r="M30" s="194">
        <v>85914255.65625</v>
      </c>
      <c r="N30" s="194"/>
      <c r="O30" s="538">
        <v>0</v>
      </c>
      <c r="P30" s="538">
        <v>0.51109867838471712</v>
      </c>
    </row>
    <row r="31" spans="3:18" x14ac:dyDescent="0.25">
      <c r="C31" s="250" t="s">
        <v>582</v>
      </c>
      <c r="D31" s="544">
        <v>66155489.90625</v>
      </c>
      <c r="E31" s="544">
        <v>66155489.90625</v>
      </c>
      <c r="F31" s="544">
        <v>95214255.65625</v>
      </c>
      <c r="G31" s="544"/>
      <c r="H31" s="547">
        <v>0</v>
      </c>
      <c r="I31" s="547">
        <v>0.43924949828320581</v>
      </c>
      <c r="J31" s="545"/>
      <c r="K31" s="544">
        <v>66155489.90625</v>
      </c>
      <c r="L31" s="544">
        <v>66155489.90625</v>
      </c>
      <c r="M31" s="544">
        <v>95214255.65625</v>
      </c>
      <c r="N31" s="544"/>
      <c r="O31" s="547">
        <v>0</v>
      </c>
      <c r="P31" s="547">
        <v>0.43924949828320581</v>
      </c>
    </row>
    <row r="33" spans="3:16" x14ac:dyDescent="0.25">
      <c r="C33" s="153" t="s">
        <v>583</v>
      </c>
      <c r="D33" s="399">
        <v>14804143.777960524</v>
      </c>
      <c r="E33" s="399">
        <v>13099699.777960524</v>
      </c>
      <c r="F33" s="399">
        <v>6708764.34375</v>
      </c>
      <c r="G33" s="399"/>
      <c r="H33" s="153"/>
      <c r="I33" s="153"/>
      <c r="J33" s="153"/>
      <c r="K33" s="399">
        <v>32366863.777960524</v>
      </c>
      <c r="L33" s="399">
        <v>28868179.777960524</v>
      </c>
      <c r="M33" s="399">
        <v>27508004.343749985</v>
      </c>
      <c r="N33" s="399"/>
      <c r="O33" s="153"/>
      <c r="P33" s="153"/>
    </row>
    <row r="34" spans="3:16" ht="14.4" thickBot="1" x14ac:dyDescent="0.3">
      <c r="C34" s="251" t="s">
        <v>584</v>
      </c>
      <c r="D34" s="546">
        <v>5.1452005038790063E-2</v>
      </c>
      <c r="E34" s="546">
        <v>5.0228205016830715E-2</v>
      </c>
      <c r="F34" s="546">
        <v>4.6207297632864547E-2</v>
      </c>
      <c r="G34" s="546"/>
      <c r="H34" s="251"/>
      <c r="I34" s="251"/>
      <c r="J34" s="251"/>
      <c r="K34" s="546">
        <v>6.4062133104989843E-2</v>
      </c>
      <c r="L34" s="546">
        <v>6.1550059046805002E-2</v>
      </c>
      <c r="M34" s="546">
        <v>5.6583515912266152E-2</v>
      </c>
      <c r="N34" s="546"/>
      <c r="O34" s="251"/>
      <c r="P34" s="251"/>
    </row>
    <row r="36" spans="3:16" x14ac:dyDescent="0.25">
      <c r="F36" s="156"/>
      <c r="M36" s="156"/>
    </row>
    <row r="37" spans="3:16" x14ac:dyDescent="0.25">
      <c r="F37" s="156"/>
      <c r="M37" s="156"/>
    </row>
    <row r="38" spans="3:16" x14ac:dyDescent="0.25">
      <c r="F38" s="156"/>
    </row>
  </sheetData>
  <mergeCells count="13">
    <mergeCell ref="H4:I4"/>
    <mergeCell ref="H16:I16"/>
    <mergeCell ref="D15:I15"/>
    <mergeCell ref="K15:P15"/>
    <mergeCell ref="D16:F16"/>
    <mergeCell ref="K16:M16"/>
    <mergeCell ref="O16:P16"/>
    <mergeCell ref="D26:I26"/>
    <mergeCell ref="K26:P26"/>
    <mergeCell ref="D27:F27"/>
    <mergeCell ref="H27:I27"/>
    <mergeCell ref="K27:M27"/>
    <mergeCell ref="O27:P2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0233-49FA-46B0-BB91-FCDAC4A67456}">
  <sheetPr codeName="Sheet27"/>
  <dimension ref="C5:I22"/>
  <sheetViews>
    <sheetView workbookViewId="0">
      <selection activeCell="E16" sqref="E16:E19"/>
    </sheetView>
  </sheetViews>
  <sheetFormatPr defaultColWidth="8.69921875" defaultRowHeight="13.8" x14ac:dyDescent="0.25"/>
  <cols>
    <col min="1" max="2" width="8.69921875" style="133"/>
    <col min="3" max="3" width="34.19921875" style="133" bestFit="1" customWidth="1"/>
    <col min="4" max="6" width="14.09765625" style="133" bestFit="1" customWidth="1"/>
    <col min="7" max="7" width="0.8984375" style="133" customWidth="1"/>
    <col min="8" max="16384" width="8.69921875" style="133"/>
  </cols>
  <sheetData>
    <row r="5" spans="3:9" x14ac:dyDescent="0.25">
      <c r="C5" s="153" t="s">
        <v>579</v>
      </c>
      <c r="H5" s="133" t="s">
        <v>588</v>
      </c>
    </row>
    <row r="6" spans="3:9" x14ac:dyDescent="0.25">
      <c r="D6" s="460" t="s">
        <v>139</v>
      </c>
      <c r="E6" s="460" t="s">
        <v>214</v>
      </c>
      <c r="F6" s="460" t="s">
        <v>215</v>
      </c>
      <c r="H6" s="460" t="s">
        <v>214</v>
      </c>
      <c r="I6" s="460" t="s">
        <v>215</v>
      </c>
    </row>
    <row r="7" spans="3:9" x14ac:dyDescent="0.25">
      <c r="C7" s="133" t="s">
        <v>389</v>
      </c>
      <c r="D7" s="194">
        <f>Model_Baseline!K37</f>
        <v>76756948.31404689</v>
      </c>
      <c r="E7" s="194">
        <f>Model_Scenario_Base!K37</f>
        <v>76756948.31404689</v>
      </c>
      <c r="F7" s="194">
        <f>Model_Scenario_Max!K40</f>
        <v>120377341.35393751</v>
      </c>
      <c r="H7" s="538">
        <f>(E7-$D7)/$D7</f>
        <v>0</v>
      </c>
      <c r="I7" s="538">
        <f>(F7-$D7)/$D7</f>
        <v>0.56829243473073143</v>
      </c>
    </row>
    <row r="8" spans="3:9" x14ac:dyDescent="0.25">
      <c r="C8" s="133" t="s">
        <v>391</v>
      </c>
      <c r="D8" s="194">
        <f>Model_Baseline!K39</f>
        <v>86056948.31404689</v>
      </c>
      <c r="E8" s="194">
        <f>Model_Scenario_Base!K39</f>
        <v>86056948.31404689</v>
      </c>
      <c r="F8" s="194">
        <f>Model_Scenario_Max!K42</f>
        <v>129677341.35393751</v>
      </c>
      <c r="H8" s="538">
        <f>(E8-$D8)/$D8</f>
        <v>0</v>
      </c>
      <c r="I8" s="538">
        <f>(F8-$D8)/$D8</f>
        <v>0.50687822301933239</v>
      </c>
    </row>
    <row r="11" spans="3:9" ht="14.4" thickBot="1" x14ac:dyDescent="0.3"/>
    <row r="12" spans="3:9" x14ac:dyDescent="0.25">
      <c r="C12" s="531"/>
      <c r="D12" s="241"/>
      <c r="E12" s="241" t="s">
        <v>457</v>
      </c>
      <c r="F12" s="241"/>
      <c r="G12" s="522"/>
      <c r="H12" s="638" t="s">
        <v>580</v>
      </c>
      <c r="I12" s="638"/>
    </row>
    <row r="13" spans="3:9" x14ac:dyDescent="0.25">
      <c r="C13" s="253"/>
      <c r="D13" s="408" t="s">
        <v>139</v>
      </c>
      <c r="E13" s="408" t="s">
        <v>214</v>
      </c>
      <c r="F13" s="408" t="s">
        <v>215</v>
      </c>
      <c r="G13" s="408"/>
      <c r="H13" s="408" t="s">
        <v>214</v>
      </c>
      <c r="I13" s="408" t="s">
        <v>215</v>
      </c>
    </row>
    <row r="14" spans="3:9" x14ac:dyDescent="0.25">
      <c r="C14" s="243" t="s">
        <v>125</v>
      </c>
      <c r="D14" s="551"/>
      <c r="E14" s="551"/>
      <c r="F14" s="551"/>
      <c r="G14" s="551"/>
      <c r="H14" s="551"/>
      <c r="I14" s="551"/>
    </row>
    <row r="15" spans="3:9" x14ac:dyDescent="0.25">
      <c r="C15" s="133" t="s">
        <v>581</v>
      </c>
      <c r="D15" s="194">
        <v>437105188.40625</v>
      </c>
      <c r="E15" s="194">
        <v>437105188.40625</v>
      </c>
      <c r="F15" s="194">
        <v>803521801.93359375</v>
      </c>
      <c r="G15" s="194"/>
      <c r="H15" s="538">
        <v>0</v>
      </c>
      <c r="I15" s="538">
        <v>0.8382801743062186</v>
      </c>
    </row>
    <row r="16" spans="3:9" x14ac:dyDescent="0.25">
      <c r="C16" s="133" t="s">
        <v>582</v>
      </c>
      <c r="D16" s="194">
        <v>462305188.40625</v>
      </c>
      <c r="E16" s="194">
        <v>462305188.40625</v>
      </c>
      <c r="F16" s="194">
        <v>828721801.93359375</v>
      </c>
      <c r="G16" s="194"/>
      <c r="H16" s="538">
        <v>0</v>
      </c>
      <c r="I16" s="538">
        <v>0.79258598587337437</v>
      </c>
    </row>
    <row r="17" spans="3:9" x14ac:dyDescent="0.25">
      <c r="C17" s="243" t="s">
        <v>587</v>
      </c>
      <c r="D17" s="551"/>
      <c r="E17" s="551"/>
      <c r="F17" s="551"/>
      <c r="G17" s="551"/>
      <c r="H17" s="551"/>
      <c r="I17" s="551"/>
    </row>
    <row r="18" spans="3:9" x14ac:dyDescent="0.25">
      <c r="C18" s="133" t="s">
        <v>581</v>
      </c>
      <c r="D18" s="194">
        <v>56855489.90625</v>
      </c>
      <c r="E18" s="194">
        <v>56855489.90625</v>
      </c>
      <c r="F18" s="194">
        <v>85914255.65625</v>
      </c>
      <c r="G18" s="194"/>
      <c r="H18" s="538">
        <v>0</v>
      </c>
      <c r="I18" s="538">
        <v>0.51109867838471712</v>
      </c>
    </row>
    <row r="19" spans="3:9" x14ac:dyDescent="0.25">
      <c r="C19" s="133" t="s">
        <v>582</v>
      </c>
      <c r="D19" s="194">
        <v>66155489.90625</v>
      </c>
      <c r="E19" s="194">
        <v>66155489.90625</v>
      </c>
      <c r="F19" s="194">
        <v>95214255.65625</v>
      </c>
      <c r="G19" s="194"/>
      <c r="H19" s="538">
        <v>0</v>
      </c>
      <c r="I19" s="538">
        <v>0.43924949828320581</v>
      </c>
    </row>
    <row r="20" spans="3:9" x14ac:dyDescent="0.25">
      <c r="C20" s="243" t="s">
        <v>589</v>
      </c>
      <c r="D20" s="551"/>
      <c r="E20" s="551"/>
      <c r="F20" s="551"/>
      <c r="G20" s="551"/>
      <c r="H20" s="551"/>
      <c r="I20" s="551"/>
    </row>
    <row r="21" spans="3:9" x14ac:dyDescent="0.25">
      <c r="C21" s="133" t="s">
        <v>581</v>
      </c>
      <c r="D21" s="194">
        <v>393278023.93359375</v>
      </c>
      <c r="E21" s="194">
        <v>393278023.93359375</v>
      </c>
      <c r="F21" s="194">
        <v>599014212.890625</v>
      </c>
      <c r="G21" s="194"/>
      <c r="H21" s="538">
        <v>0</v>
      </c>
      <c r="I21" s="538">
        <v>0.5231316687854658</v>
      </c>
    </row>
    <row r="22" spans="3:9" x14ac:dyDescent="0.25">
      <c r="C22" s="133" t="s">
        <v>582</v>
      </c>
      <c r="D22" s="194">
        <v>428078023.93359375</v>
      </c>
      <c r="E22" s="194">
        <v>428078023.93359375</v>
      </c>
      <c r="F22" s="194">
        <v>633814212.890625</v>
      </c>
      <c r="G22" s="194"/>
      <c r="H22" s="538">
        <v>0</v>
      </c>
      <c r="I22" s="538">
        <v>0.48060441661202019</v>
      </c>
    </row>
  </sheetData>
  <mergeCells count="1">
    <mergeCell ref="H12:I1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085F-A8E2-4C14-A70D-CB02D41B5EAA}">
  <sheetPr codeName="Sheet28"/>
  <dimension ref="C5:F11"/>
  <sheetViews>
    <sheetView workbookViewId="0">
      <selection activeCell="E16" sqref="E16:E19"/>
    </sheetView>
  </sheetViews>
  <sheetFormatPr defaultColWidth="8.69921875" defaultRowHeight="13.8" x14ac:dyDescent="0.25"/>
  <cols>
    <col min="1" max="2" width="8.69921875" style="133"/>
    <col min="3" max="3" width="13.09765625" style="133" bestFit="1" customWidth="1"/>
    <col min="4" max="5" width="9.8984375" style="133" customWidth="1"/>
    <col min="6" max="6" width="10.3984375" style="133" bestFit="1" customWidth="1"/>
    <col min="7" max="16384" width="8.69921875" style="133"/>
  </cols>
  <sheetData>
    <row r="5" spans="3:6" x14ac:dyDescent="0.25">
      <c r="D5" s="133" t="s">
        <v>214</v>
      </c>
      <c r="E5" s="133" t="s">
        <v>215</v>
      </c>
      <c r="F5" s="133" t="s">
        <v>237</v>
      </c>
    </row>
    <row r="6" spans="3:6" x14ac:dyDescent="0.25">
      <c r="C6" s="133" t="s">
        <v>375</v>
      </c>
      <c r="D6" s="194">
        <v>100</v>
      </c>
      <c r="E6" s="194">
        <v>149</v>
      </c>
      <c r="F6" s="187">
        <f>(E6-D6)/D6</f>
        <v>0.49</v>
      </c>
    </row>
    <row r="7" spans="3:6" x14ac:dyDescent="0.25">
      <c r="C7" s="133" t="s">
        <v>402</v>
      </c>
      <c r="D7" s="194">
        <v>2000</v>
      </c>
      <c r="E7" s="194">
        <v>3000</v>
      </c>
      <c r="F7" s="187">
        <f>(E7-D7)/D7</f>
        <v>0.5</v>
      </c>
    </row>
    <row r="8" spans="3:6" x14ac:dyDescent="0.25">
      <c r="C8" s="133" t="s">
        <v>185</v>
      </c>
      <c r="D8" s="639">
        <v>4.7500000000000001E-2</v>
      </c>
      <c r="E8" s="639"/>
      <c r="F8" s="515"/>
    </row>
    <row r="9" spans="3:6" x14ac:dyDescent="0.25">
      <c r="C9" s="133" t="s">
        <v>590</v>
      </c>
      <c r="D9" s="194">
        <f>D6/D8</f>
        <v>2105.2631578947367</v>
      </c>
      <c r="E9" s="194">
        <f>E6/D8</f>
        <v>3136.8421052631579</v>
      </c>
    </row>
    <row r="10" spans="3:6" x14ac:dyDescent="0.25">
      <c r="C10" s="133" t="s">
        <v>223</v>
      </c>
      <c r="D10" s="194">
        <f>D9-D7</f>
        <v>105.26315789473665</v>
      </c>
      <c r="E10" s="194">
        <f>E9-E7</f>
        <v>136.84210526315792</v>
      </c>
    </row>
    <row r="11" spans="3:6" x14ac:dyDescent="0.25">
      <c r="C11" s="133" t="s">
        <v>584</v>
      </c>
      <c r="D11" s="515">
        <f>D6/D7</f>
        <v>0.05</v>
      </c>
      <c r="E11" s="515">
        <f>E6/E7</f>
        <v>4.9666666666666665E-2</v>
      </c>
    </row>
  </sheetData>
  <mergeCells count="1">
    <mergeCell ref="D8:E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01CDF7D2C5814E8DC2725AAD295297" ma:contentTypeVersion="20" ma:contentTypeDescription="Create a new document." ma:contentTypeScope="" ma:versionID="a33316b324147986208895122a1c4c15">
  <xsd:schema xmlns:xsd="http://www.w3.org/2001/XMLSchema" xmlns:xs="http://www.w3.org/2001/XMLSchema" xmlns:p="http://schemas.microsoft.com/office/2006/metadata/properties" xmlns:ns2="e64815c4-6b7c-4e79-9698-150dc5a2b1ed" xmlns:ns3="ec906fc7-0f37-4eaa-b011-4179cf3b3afb" targetNamespace="http://schemas.microsoft.com/office/2006/metadata/properties" ma:root="true" ma:fieldsID="45840381222cec44c1c3e9f60d7c600d" ns2:_="" ns3:_="">
    <xsd:import namespace="e64815c4-6b7c-4e79-9698-150dc5a2b1ed"/>
    <xsd:import namespace="ec906fc7-0f37-4eaa-b011-4179cf3b3af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Fil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15c4-6b7c-4e79-9698-150dc5a2b1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e3509a9-f866-4235-89e8-0cde3637a1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File_x0020_ID" ma:index="26" nillable="true" ma:displayName="File ID" ma:decimals="0" ma:format="Dropdown" ma:internalName="File_x0020_ID"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c906fc7-0f37-4eaa-b011-4179cf3b3af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6c44b3-2dac-46cc-a250-c0a9b5f704a8}" ma:internalName="TaxCatchAll" ma:showField="CatchAllData" ma:web="ec906fc7-0f37-4eaa-b011-4179cf3b3a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4815c4-6b7c-4e79-9698-150dc5a2b1ed">
      <Terms xmlns="http://schemas.microsoft.com/office/infopath/2007/PartnerControls"/>
    </lcf76f155ced4ddcb4097134ff3c332f>
    <TaxCatchAll xmlns="ec906fc7-0f37-4eaa-b011-4179cf3b3afb" xsi:nil="true"/>
    <File_x0020_ID xmlns="e64815c4-6b7c-4e79-9698-150dc5a2b1ed" xsi:nil="true"/>
  </documentManagement>
</p:properties>
</file>

<file path=customXml/itemProps1.xml><?xml version="1.0" encoding="utf-8"?>
<ds:datastoreItem xmlns:ds="http://schemas.openxmlformats.org/officeDocument/2006/customXml" ds:itemID="{2AB89784-BD56-4911-8885-A264E745F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15c4-6b7c-4e79-9698-150dc5a2b1ed"/>
    <ds:schemaRef ds:uri="ec906fc7-0f37-4eaa-b011-4179cf3b3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847732-8630-434D-8520-620D42CD1290}">
  <ds:schemaRefs>
    <ds:schemaRef ds:uri="http://schemas.microsoft.com/sharepoint/v3/contenttype/forms"/>
  </ds:schemaRefs>
</ds:datastoreItem>
</file>

<file path=customXml/itemProps3.xml><?xml version="1.0" encoding="utf-8"?>
<ds:datastoreItem xmlns:ds="http://schemas.openxmlformats.org/officeDocument/2006/customXml" ds:itemID="{F06D8504-79F6-4C37-A972-1A0185C45FA3}">
  <ds:schemaRefs>
    <ds:schemaRef ds:uri="http://schemas.microsoft.com/office/2006/metadata/properties"/>
    <ds:schemaRef ds:uri="http://schemas.microsoft.com/office/infopath/2007/PartnerControls"/>
    <ds:schemaRef ds:uri="e64815c4-6b7c-4e79-9698-150dc5a2b1ed"/>
    <ds:schemaRef ds:uri="ec906fc7-0f37-4eaa-b011-4179cf3b3a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Introduction</vt:lpstr>
      <vt:lpstr>Contents</vt:lpstr>
      <vt:lpstr>Working Session Discussion</vt:lpstr>
      <vt:lpstr>Read Me</vt:lpstr>
      <vt:lpstr>Input Exhibit</vt:lpstr>
      <vt:lpstr>Prototype Exhibit</vt:lpstr>
      <vt:lpstr>YOC Exhibit</vt:lpstr>
      <vt:lpstr>Sensitivity Exhibits</vt:lpstr>
      <vt:lpstr>Static Output Exhibits</vt:lpstr>
      <vt:lpstr>Static Output Exhibits_in-lieu</vt:lpstr>
      <vt:lpstr>Dynamic Output Exhibit</vt:lpstr>
      <vt:lpstr>Model Controls</vt:lpstr>
      <vt:lpstr>Amenity Bonus Controls</vt:lpstr>
      <vt:lpstr>Prototype Controls</vt:lpstr>
      <vt:lpstr>Input Controls</vt:lpstr>
      <vt:lpstr>Model_Baseline</vt:lpstr>
      <vt:lpstr>Model_Scenario_Base</vt:lpstr>
      <vt:lpstr>Model_Scenario_Max</vt:lpstr>
      <vt:lpstr>Prototype Inputs</vt:lpstr>
      <vt:lpstr>Model Inputs</vt:lpstr>
      <vt:lpstr>Unit Mix</vt:lpstr>
      <vt:lpstr>Financing</vt:lpstr>
      <vt:lpstr>ARCH 2024</vt:lpstr>
      <vt:lpstr>Green Building</vt:lpstr>
      <vt:lpstr>Site Calcs</vt:lpstr>
      <vt:lpstr>IF_MFTE Calculations</vt:lpstr>
      <vt:lpstr>Lookup Lists</vt:lpstr>
      <vt:lpstr>Rent Tracking</vt:lpstr>
      <vt:lpstr>Output Check</vt:lpstr>
      <vt:lpstr>Development Cost Increase</vt:lpstr>
      <vt:lpstr>YOC_RLC</vt:lpstr>
      <vt:lpstr>'ARCH 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Kortney Cena</dc:creator>
  <cp:keywords/>
  <dc:description/>
  <cp:lastModifiedBy>Ethan Schmidt</cp:lastModifiedBy>
  <cp:revision/>
  <dcterms:created xsi:type="dcterms:W3CDTF">2024-01-30T20:45:13Z</dcterms:created>
  <dcterms:modified xsi:type="dcterms:W3CDTF">2024-08-08T16:32:05Z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0x0101004E01CDF7D2C5814E8DC2725AAD295297</vt:lpwstr>
  </property>
  <property fmtid="{D5CDD505-2E9C-101B-9397-08002B2CF9AE}" pid="3" name="MediaServiceImageTags">
    <vt:lpwstr/>
  </property>
</Properties>
</file>