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lassification and Compensation\Pay Plans\2019\"/>
    </mc:Choice>
  </mc:AlternateContent>
  <xr:revisionPtr revIDLastSave="0" documentId="10_ncr:100000_{EF8811B3-A5A0-4C1F-83B7-8FD16083F41F}" xr6:coauthVersionLast="31" xr6:coauthVersionMax="31" xr10:uidLastSave="{00000000-0000-0000-0000-000000000000}"/>
  <bookViews>
    <workbookView xWindow="21330" yWindow="90" windowWidth="7470" windowHeight="6495" tabRatio="925" xr2:uid="{00000000-000D-0000-FFFF-FFFF00000000}"/>
  </bookViews>
  <sheets>
    <sheet name="Job Table" sheetId="1" r:id="rId1"/>
    <sheet name="A- Maint (rep)" sheetId="2" r:id="rId2"/>
    <sheet name="B- Parks,Util,CS, Trans (rep)" sheetId="31" r:id="rId3"/>
    <sheet name="C- City Council" sheetId="37" r:id="rId4"/>
    <sheet name="D- Police Support (rep)" sheetId="39" r:id="rId5"/>
    <sheet name="E -Executive" sheetId="7" r:id="rId6"/>
    <sheet name="F - Firefighters (rep)" sheetId="40" r:id="rId7"/>
    <sheet name="FN1" sheetId="41" state="hidden" r:id="rId8"/>
    <sheet name="G - General Pay Plan" sheetId="10" r:id="rId9"/>
    <sheet name="H- Bldg Insp, Examiners (rep)" sheetId="33" r:id="rId10"/>
    <sheet name="H1" sheetId="12" r:id="rId11"/>
    <sheet name="I -Signals &amp; Electronics (rep)" sheetId="13" r:id="rId12"/>
    <sheet name="J- Police Mgmt (rep)" sheetId="14" r:id="rId13"/>
    <sheet name="J1" sheetId="15" r:id="rId14"/>
    <sheet name="K- Fire Prevention (rep)" sheetId="16" r:id="rId15"/>
    <sheet name="K1" sheetId="17" r:id="rId16"/>
    <sheet name="L-Batt Chiefs (rep)" sheetId="18" r:id="rId17"/>
    <sheet name="LU1" sheetId="19" state="hidden" r:id="rId18"/>
    <sheet name="M-Mid Mgmt" sheetId="20" r:id="rId19"/>
    <sheet name="M1" sheetId="21" r:id="rId20"/>
    <sheet name="N-Fire (rep)" sheetId="22" r:id="rId21"/>
    <sheet name="P-Police (rep)" sheetId="42" r:id="rId22"/>
    <sheet name="P1" sheetId="43" r:id="rId23"/>
    <sheet name="R-Rec Assts" sheetId="25" r:id="rId24"/>
    <sheet name="S-Police Support Supvsr" sheetId="26" r:id="rId25"/>
    <sheet name="T-City Manager" sheetId="38" r:id="rId26"/>
    <sheet name="U-Batt Chief (rep)" sheetId="28" r:id="rId27"/>
    <sheet name="V-Fire Marshal" sheetId="29" r:id="rId28"/>
    <sheet name="W - Bldg Div Sups (rep)" sheetId="36" r:id="rId29"/>
  </sheet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6" hidden="1">#REF!</definedName>
    <definedName name="_Fill" localSheetId="7" hidden="1">#REF!</definedName>
    <definedName name="_Fill" localSheetId="9" hidden="1">#REF!</definedName>
    <definedName name="_Fill" localSheetId="11" hidden="1">#REF!</definedName>
    <definedName name="_Fill" localSheetId="22" hidden="1">#REF!</definedName>
    <definedName name="_Fill" localSheetId="21" hidden="1">#REF!</definedName>
    <definedName name="_Fill" localSheetId="25" hidden="1">#REF!</definedName>
    <definedName name="_Fill" localSheetId="28" hidden="1">#REF!</definedName>
    <definedName name="_Fill" hidden="1">#REF!</definedName>
    <definedName name="_xlnm._FilterDatabase" localSheetId="0" hidden="1">'Job Table'!$A$1:$I$351</definedName>
    <definedName name="_Order1" hidden="1">255</definedName>
    <definedName name="_Order2" hidden="1">255</definedName>
    <definedName name="_xlnm.Print_Area" localSheetId="1">'A- Maint (rep)'!$A$1:$J$11</definedName>
    <definedName name="_xlnm.Print_Area" localSheetId="2">'B- Parks,Util,CS, Trans (rep)'!$A$1:$K$58</definedName>
    <definedName name="_xlnm.Print_Area" localSheetId="3">'C- City Council'!$A$1:$F$11</definedName>
    <definedName name="_xlnm.Print_Area" localSheetId="4">'D- Police Support (rep)'!$A$1:$J$46</definedName>
    <definedName name="_xlnm.Print_Area" localSheetId="5">'E -Executive'!$A$1:$H$24</definedName>
    <definedName name="_xlnm.Print_Area" localSheetId="6">'F - Firefighters (rep)'!$A$1:$I$44</definedName>
    <definedName name="_xlnm.Print_Area" localSheetId="7">'FN1'!$A$3:$I$143</definedName>
    <definedName name="_xlnm.Print_Area" localSheetId="8">'G - General Pay Plan'!$A$1:$H$278</definedName>
    <definedName name="_xlnm.Print_Area" localSheetId="9">'H- Bldg Insp, Examiners (rep)'!$A$1:$H$14</definedName>
    <definedName name="_xlnm.Print_Area" localSheetId="10">'H1'!$A$1:$E$9</definedName>
    <definedName name="_xlnm.Print_Area" localSheetId="11">'I -Signals &amp; Electronics (rep)'!$A$1:$J$26</definedName>
    <definedName name="_xlnm.Print_Area" localSheetId="12">'J- Police Mgmt (rep)'!$A$1:$G$10</definedName>
    <definedName name="_xlnm.Print_Area" localSheetId="13">'J1'!$A$1:$E$26</definedName>
    <definedName name="_xlnm.Print_Area" localSheetId="0">'Job Table'!$A$1:$I$351</definedName>
    <definedName name="_xlnm.Print_Area" localSheetId="14">'K- Fire Prevention (rep)'!$A$1:$J$6</definedName>
    <definedName name="_xlnm.Print_Area" localSheetId="15">'K1'!$A$1:$J$14</definedName>
    <definedName name="_xlnm.Print_Area" localSheetId="16">'L-Batt Chiefs (rep)'!$A$1:$H$7</definedName>
    <definedName name="_xlnm.Print_Area" localSheetId="17">'LU1'!$A$1:$D$11</definedName>
    <definedName name="_xlnm.Print_Area" localSheetId="19">'M1'!$A$1:$E$7</definedName>
    <definedName name="_xlnm.Print_Area" localSheetId="18">'M-Mid Mgmt'!$A$3:$H$25</definedName>
    <definedName name="_xlnm.Print_Area" localSheetId="20">'N-Fire (rep)'!$A$1:$I$22</definedName>
    <definedName name="_xlnm.Print_Area" localSheetId="22">'P1'!$A$1:$H$63</definedName>
    <definedName name="_xlnm.Print_Area" localSheetId="21">'P-Police (rep)'!$A$1:$H$17</definedName>
    <definedName name="_xlnm.Print_Area" localSheetId="23">'R-Rec Assts'!$A$1:$G$8</definedName>
    <definedName name="_xlnm.Print_Area" localSheetId="24">'S-Police Support Supvsr'!$A$1:$G$6</definedName>
    <definedName name="_xlnm.Print_Area" localSheetId="25">'T-City Manager'!$A$1:$F$6</definedName>
    <definedName name="_xlnm.Print_Area" localSheetId="26">'U-Batt Chief (rep)'!$A$1:$H$6</definedName>
    <definedName name="_xlnm.Print_Area" localSheetId="27">'V-Fire Marshal'!$A$1:$H$6</definedName>
    <definedName name="_xlnm.Print_Area" localSheetId="28">'W - Bldg Div Sups (rep)'!$A$1:$I$14</definedName>
    <definedName name="_xlnm.Print_Titles" localSheetId="2">'B- Parks,Util,CS, Trans (rep)'!$1:$2</definedName>
    <definedName name="_xlnm.Print_Titles" localSheetId="3">'C- City Council'!$1:$2</definedName>
    <definedName name="_xlnm.Print_Titles" localSheetId="4">'D- Police Support (rep)'!$1:$2</definedName>
    <definedName name="_xlnm.Print_Titles" localSheetId="5">'E -Executive'!$1:$2</definedName>
    <definedName name="_xlnm.Print_Titles" localSheetId="6">'F - Firefighters (rep)'!$1:$2</definedName>
    <definedName name="_xlnm.Print_Titles" localSheetId="8">'G - General Pay Plan'!$1:$2</definedName>
    <definedName name="_xlnm.Print_Titles" localSheetId="9">'H- Bldg Insp, Examiners (rep)'!$1:$2</definedName>
    <definedName name="_xlnm.Print_Titles" localSheetId="11">'I -Signals &amp; Electronics (rep)'!$1:$2</definedName>
    <definedName name="_xlnm.Print_Titles" localSheetId="12">'J- Police Mgmt (rep)'!$1:$2</definedName>
    <definedName name="_xlnm.Print_Titles" localSheetId="0">'Job Table'!$1:$1</definedName>
    <definedName name="_xlnm.Print_Titles" localSheetId="14">'K- Fire Prevention (rep)'!$1:$2</definedName>
    <definedName name="_xlnm.Print_Titles" localSheetId="16">'L-Batt Chiefs (rep)'!$1:$2</definedName>
    <definedName name="_xlnm.Print_Titles" localSheetId="18">'M-Mid Mgmt'!$1:$2</definedName>
    <definedName name="_xlnm.Print_Titles" localSheetId="20">'N-Fire (rep)'!$1:$2</definedName>
    <definedName name="_xlnm.Print_Titles" localSheetId="21">'P-Police (rep)'!$1:$2</definedName>
    <definedName name="_xlnm.Print_Titles" localSheetId="23">'R-Rec Assts'!$1:$2</definedName>
    <definedName name="_xlnm.Print_Titles" localSheetId="24">'S-Police Support Supvsr'!$1:$2</definedName>
    <definedName name="_xlnm.Print_Titles" localSheetId="25">'T-City Manager'!$1:$2</definedName>
    <definedName name="_xlnm.Print_Titles" localSheetId="26">'U-Batt Chief (rep)'!$1:$2</definedName>
    <definedName name="_xlnm.Print_Titles" localSheetId="27">'V-Fire Marshal'!$1:$2</definedName>
    <definedName name="_xlnm.Print_Titles" localSheetId="28">'W - Bldg Div Sups (rep)'!$1:$2</definedName>
    <definedName name="Z_03674138_A9FA_46A6_AB09_A74C70852C0D_.wvu.PrintArea" localSheetId="1" hidden="1">'A- Maint (rep)'!$A$1:$J$13</definedName>
    <definedName name="Z_03674138_A9FA_46A6_AB09_A74C70852C0D_.wvu.PrintArea" localSheetId="3" hidden="1">'C- City Council'!$A$1:$F$11</definedName>
    <definedName name="Z_03674138_A9FA_46A6_AB09_A74C70852C0D_.wvu.PrintArea" localSheetId="4" hidden="1">'D- Police Support (rep)'!$A$1:$J$46</definedName>
    <definedName name="Z_03674138_A9FA_46A6_AB09_A74C70852C0D_.wvu.PrintArea" localSheetId="5" hidden="1">'E -Executive'!$A$1:$H$24</definedName>
    <definedName name="Z_03674138_A9FA_46A6_AB09_A74C70852C0D_.wvu.PrintArea" localSheetId="6" hidden="1">'F - Firefighters (rep)'!$A$1:$I$44</definedName>
    <definedName name="Z_03674138_A9FA_46A6_AB09_A74C70852C0D_.wvu.PrintArea" localSheetId="7" hidden="1">'FN1'!$A$3:$I$143</definedName>
    <definedName name="Z_03674138_A9FA_46A6_AB09_A74C70852C0D_.wvu.PrintArea" localSheetId="8" hidden="1">'G - General Pay Plan'!$A$1:$H$280</definedName>
    <definedName name="Z_03674138_A9FA_46A6_AB09_A74C70852C0D_.wvu.PrintArea" localSheetId="10" hidden="1">'H1'!$A$1:$E$9</definedName>
    <definedName name="Z_03674138_A9FA_46A6_AB09_A74C70852C0D_.wvu.PrintArea" localSheetId="11" hidden="1">'I -Signals &amp; Electronics (rep)'!$A$1:$J$26</definedName>
    <definedName name="Z_03674138_A9FA_46A6_AB09_A74C70852C0D_.wvu.PrintArea" localSheetId="12" hidden="1">'J- Police Mgmt (rep)'!$A$1:$G$10</definedName>
    <definedName name="Z_03674138_A9FA_46A6_AB09_A74C70852C0D_.wvu.PrintArea" localSheetId="13" hidden="1">'J1'!$A$1:$E$26</definedName>
    <definedName name="Z_03674138_A9FA_46A6_AB09_A74C70852C0D_.wvu.PrintArea" localSheetId="0" hidden="1">'Job Table'!$A$1:$H$330</definedName>
    <definedName name="Z_03674138_A9FA_46A6_AB09_A74C70852C0D_.wvu.PrintArea" localSheetId="14" hidden="1">'K- Fire Prevention (rep)'!$A$1:$J$6</definedName>
    <definedName name="Z_03674138_A9FA_46A6_AB09_A74C70852C0D_.wvu.PrintArea" localSheetId="15" hidden="1">'K1'!$A$1:$J$14</definedName>
    <definedName name="Z_03674138_A9FA_46A6_AB09_A74C70852C0D_.wvu.PrintArea" localSheetId="16" hidden="1">'L-Batt Chiefs (rep)'!$A$1:$H$7</definedName>
    <definedName name="Z_03674138_A9FA_46A6_AB09_A74C70852C0D_.wvu.PrintArea" localSheetId="17" hidden="1">'LU1'!$A$1:$D$11</definedName>
    <definedName name="Z_03674138_A9FA_46A6_AB09_A74C70852C0D_.wvu.PrintArea" localSheetId="19" hidden="1">'M1'!$A$1:$E$7</definedName>
    <definedName name="Z_03674138_A9FA_46A6_AB09_A74C70852C0D_.wvu.PrintArea" localSheetId="18" hidden="1">'M-Mid Mgmt'!$A$3:$H$25</definedName>
    <definedName name="Z_03674138_A9FA_46A6_AB09_A74C70852C0D_.wvu.PrintArea" localSheetId="20" hidden="1">'N-Fire (rep)'!$A$1:$I$22</definedName>
    <definedName name="Z_03674138_A9FA_46A6_AB09_A74C70852C0D_.wvu.PrintArea" localSheetId="22" hidden="1">'P1'!$A$1:$H$53</definedName>
    <definedName name="Z_03674138_A9FA_46A6_AB09_A74C70852C0D_.wvu.PrintArea" localSheetId="21" hidden="1">'P-Police (rep)'!$A$1:$H$14</definedName>
    <definedName name="Z_03674138_A9FA_46A6_AB09_A74C70852C0D_.wvu.PrintArea" localSheetId="23" hidden="1">'R-Rec Assts'!$A$1:$G$8</definedName>
    <definedName name="Z_03674138_A9FA_46A6_AB09_A74C70852C0D_.wvu.PrintArea" localSheetId="24" hidden="1">'S-Police Support Supvsr'!$A$1:$G$6</definedName>
    <definedName name="Z_03674138_A9FA_46A6_AB09_A74C70852C0D_.wvu.PrintArea" localSheetId="25" hidden="1">'T-City Manager'!$A$1:$F$6</definedName>
    <definedName name="Z_03674138_A9FA_46A6_AB09_A74C70852C0D_.wvu.PrintArea" localSheetId="26" hidden="1">'U-Batt Chief (rep)'!$A$1:$H$6</definedName>
    <definedName name="Z_03674138_A9FA_46A6_AB09_A74C70852C0D_.wvu.PrintArea" localSheetId="27" hidden="1">'V-Fire Marshal'!$A$1:$H$6</definedName>
    <definedName name="Z_03674138_A9FA_46A6_AB09_A74C70852C0D_.wvu.PrintTitles" localSheetId="3" hidden="1">'C- City Council'!$1:$2</definedName>
    <definedName name="Z_03674138_A9FA_46A6_AB09_A74C70852C0D_.wvu.PrintTitles" localSheetId="4" hidden="1">'D- Police Support (rep)'!$1:$2</definedName>
    <definedName name="Z_03674138_A9FA_46A6_AB09_A74C70852C0D_.wvu.PrintTitles" localSheetId="5" hidden="1">'E -Executive'!$1:$2</definedName>
    <definedName name="Z_03674138_A9FA_46A6_AB09_A74C70852C0D_.wvu.PrintTitles" localSheetId="6" hidden="1">'F - Firefighters (rep)'!$1:$2</definedName>
    <definedName name="Z_03674138_A9FA_46A6_AB09_A74C70852C0D_.wvu.PrintTitles" localSheetId="8" hidden="1">'G - General Pay Plan'!$1:$2</definedName>
    <definedName name="Z_03674138_A9FA_46A6_AB09_A74C70852C0D_.wvu.PrintTitles" localSheetId="11" hidden="1">'I -Signals &amp; Electronics (rep)'!$1:$2</definedName>
    <definedName name="Z_03674138_A9FA_46A6_AB09_A74C70852C0D_.wvu.PrintTitles" localSheetId="12" hidden="1">'J- Police Mgmt (rep)'!$1:$2</definedName>
    <definedName name="Z_03674138_A9FA_46A6_AB09_A74C70852C0D_.wvu.PrintTitles" localSheetId="0" hidden="1">'Job Table'!$1:$1</definedName>
    <definedName name="Z_03674138_A9FA_46A6_AB09_A74C70852C0D_.wvu.PrintTitles" localSheetId="14" hidden="1">'K- Fire Prevention (rep)'!$1:$2</definedName>
    <definedName name="Z_03674138_A9FA_46A6_AB09_A74C70852C0D_.wvu.PrintTitles" localSheetId="16" hidden="1">'L-Batt Chiefs (rep)'!$1:$2</definedName>
    <definedName name="Z_03674138_A9FA_46A6_AB09_A74C70852C0D_.wvu.PrintTitles" localSheetId="18" hidden="1">'M-Mid Mgmt'!$1:$2</definedName>
    <definedName name="Z_03674138_A9FA_46A6_AB09_A74C70852C0D_.wvu.PrintTitles" localSheetId="20" hidden="1">'N-Fire (rep)'!$1:$2</definedName>
    <definedName name="Z_03674138_A9FA_46A6_AB09_A74C70852C0D_.wvu.PrintTitles" localSheetId="21" hidden="1">'P-Police (rep)'!$1:$2</definedName>
    <definedName name="Z_03674138_A9FA_46A6_AB09_A74C70852C0D_.wvu.PrintTitles" localSheetId="23" hidden="1">'R-Rec Assts'!$1:$2</definedName>
    <definedName name="Z_03674138_A9FA_46A6_AB09_A74C70852C0D_.wvu.PrintTitles" localSheetId="24" hidden="1">'S-Police Support Supvsr'!$1:$2</definedName>
    <definedName name="Z_03674138_A9FA_46A6_AB09_A74C70852C0D_.wvu.PrintTitles" localSheetId="25" hidden="1">'T-City Manager'!$1:$2</definedName>
    <definedName name="Z_03674138_A9FA_46A6_AB09_A74C70852C0D_.wvu.PrintTitles" localSheetId="26" hidden="1">'U-Batt Chief (rep)'!$1:$2</definedName>
    <definedName name="Z_03674138_A9FA_46A6_AB09_A74C70852C0D_.wvu.PrintTitles" localSheetId="27" hidden="1">'V-Fire Marshal'!$1:$2</definedName>
    <definedName name="Z_03674138_A9FA_46A6_AB09_A74C70852C0D_.wvu.Rows" localSheetId="15" hidden="1">'K1'!$2:$26</definedName>
    <definedName name="Z_49073133_97C6_4E81_BEFE_D9E658C173F7_.wvu.PrintArea" localSheetId="1" hidden="1">'A- Maint (rep)'!$A$1:$J$11</definedName>
    <definedName name="Z_49073133_97C6_4E81_BEFE_D9E658C173F7_.wvu.PrintArea" localSheetId="3" hidden="1">'C- City Council'!$A$1:$F$11</definedName>
    <definedName name="Z_49073133_97C6_4E81_BEFE_D9E658C173F7_.wvu.PrintArea" localSheetId="4" hidden="1">'D- Police Support (rep)'!$A$1:$J$46</definedName>
    <definedName name="Z_49073133_97C6_4E81_BEFE_D9E658C173F7_.wvu.PrintArea" localSheetId="5" hidden="1">'E -Executive'!$A$1:$H$24</definedName>
    <definedName name="Z_49073133_97C6_4E81_BEFE_D9E658C173F7_.wvu.PrintArea" localSheetId="6" hidden="1">'F - Firefighters (rep)'!$A$1:$I$44</definedName>
    <definedName name="Z_49073133_97C6_4E81_BEFE_D9E658C173F7_.wvu.PrintArea" localSheetId="7" hidden="1">'FN1'!$A$3:$I$143</definedName>
    <definedName name="Z_49073133_97C6_4E81_BEFE_D9E658C173F7_.wvu.PrintArea" localSheetId="8" hidden="1">'G - General Pay Plan'!$A$1:$H$280</definedName>
    <definedName name="Z_49073133_97C6_4E81_BEFE_D9E658C173F7_.wvu.PrintArea" localSheetId="10" hidden="1">'H1'!$A$1:$E$9</definedName>
    <definedName name="Z_49073133_97C6_4E81_BEFE_D9E658C173F7_.wvu.PrintArea" localSheetId="11" hidden="1">'I -Signals &amp; Electronics (rep)'!$A$1:$J$26</definedName>
    <definedName name="Z_49073133_97C6_4E81_BEFE_D9E658C173F7_.wvu.PrintArea" localSheetId="12" hidden="1">'J- Police Mgmt (rep)'!$A$1:$G$10</definedName>
    <definedName name="Z_49073133_97C6_4E81_BEFE_D9E658C173F7_.wvu.PrintArea" localSheetId="13" hidden="1">'J1'!$A$1:$E$26</definedName>
    <definedName name="Z_49073133_97C6_4E81_BEFE_D9E658C173F7_.wvu.PrintArea" localSheetId="0" hidden="1">'Job Table'!$A$1:$H$330</definedName>
    <definedName name="Z_49073133_97C6_4E81_BEFE_D9E658C173F7_.wvu.PrintArea" localSheetId="14" hidden="1">'K- Fire Prevention (rep)'!$A$1:$J$6</definedName>
    <definedName name="Z_49073133_97C6_4E81_BEFE_D9E658C173F7_.wvu.PrintArea" localSheetId="15" hidden="1">'K1'!$A$1:$J$14</definedName>
    <definedName name="Z_49073133_97C6_4E81_BEFE_D9E658C173F7_.wvu.PrintArea" localSheetId="16" hidden="1">'L-Batt Chiefs (rep)'!$A$1:$H$7</definedName>
    <definedName name="Z_49073133_97C6_4E81_BEFE_D9E658C173F7_.wvu.PrintArea" localSheetId="17" hidden="1">'LU1'!$A$1:$D$11</definedName>
    <definedName name="Z_49073133_97C6_4E81_BEFE_D9E658C173F7_.wvu.PrintArea" localSheetId="19" hidden="1">'M1'!$A$1:$E$7</definedName>
    <definedName name="Z_49073133_97C6_4E81_BEFE_D9E658C173F7_.wvu.PrintArea" localSheetId="18" hidden="1">'M-Mid Mgmt'!$A$3:$H$25</definedName>
    <definedName name="Z_49073133_97C6_4E81_BEFE_D9E658C173F7_.wvu.PrintArea" localSheetId="20" hidden="1">'N-Fire (rep)'!$A$1:$I$22</definedName>
    <definedName name="Z_49073133_97C6_4E81_BEFE_D9E658C173F7_.wvu.PrintArea" localSheetId="22" hidden="1">'P1'!$A$1:$H$53</definedName>
    <definedName name="Z_49073133_97C6_4E81_BEFE_D9E658C173F7_.wvu.PrintArea" localSheetId="21" hidden="1">'P-Police (rep)'!$A$1:$H$14</definedName>
    <definedName name="Z_49073133_97C6_4E81_BEFE_D9E658C173F7_.wvu.PrintArea" localSheetId="23" hidden="1">'R-Rec Assts'!$A$1:$G$8</definedName>
    <definedName name="Z_49073133_97C6_4E81_BEFE_D9E658C173F7_.wvu.PrintArea" localSheetId="24" hidden="1">'S-Police Support Supvsr'!$A$1:$G$6</definedName>
    <definedName name="Z_49073133_97C6_4E81_BEFE_D9E658C173F7_.wvu.PrintArea" localSheetId="25" hidden="1">'T-City Manager'!$A$1:$F$6</definedName>
    <definedName name="Z_49073133_97C6_4E81_BEFE_D9E658C173F7_.wvu.PrintArea" localSheetId="26" hidden="1">'U-Batt Chief (rep)'!$A$1:$H$6</definedName>
    <definedName name="Z_49073133_97C6_4E81_BEFE_D9E658C173F7_.wvu.PrintArea" localSheetId="27" hidden="1">'V-Fire Marshal'!$A$1:$H$6</definedName>
    <definedName name="Z_49073133_97C6_4E81_BEFE_D9E658C173F7_.wvu.PrintTitles" localSheetId="3" hidden="1">'C- City Council'!$1:$2</definedName>
    <definedName name="Z_49073133_97C6_4E81_BEFE_D9E658C173F7_.wvu.PrintTitles" localSheetId="4" hidden="1">'D- Police Support (rep)'!$1:$2</definedName>
    <definedName name="Z_49073133_97C6_4E81_BEFE_D9E658C173F7_.wvu.PrintTitles" localSheetId="5" hidden="1">'E -Executive'!$1:$2</definedName>
    <definedName name="Z_49073133_97C6_4E81_BEFE_D9E658C173F7_.wvu.PrintTitles" localSheetId="6" hidden="1">'F - Firefighters (rep)'!$1:$2</definedName>
    <definedName name="Z_49073133_97C6_4E81_BEFE_D9E658C173F7_.wvu.PrintTitles" localSheetId="8" hidden="1">'G - General Pay Plan'!$1:$2</definedName>
    <definedName name="Z_49073133_97C6_4E81_BEFE_D9E658C173F7_.wvu.PrintTitles" localSheetId="11" hidden="1">'I -Signals &amp; Electronics (rep)'!$1:$2</definedName>
    <definedName name="Z_49073133_97C6_4E81_BEFE_D9E658C173F7_.wvu.PrintTitles" localSheetId="12" hidden="1">'J- Police Mgmt (rep)'!$1:$2</definedName>
    <definedName name="Z_49073133_97C6_4E81_BEFE_D9E658C173F7_.wvu.PrintTitles" localSheetId="0" hidden="1">'Job Table'!$1:$1</definedName>
    <definedName name="Z_49073133_97C6_4E81_BEFE_D9E658C173F7_.wvu.PrintTitles" localSheetId="14" hidden="1">'K- Fire Prevention (rep)'!$1:$2</definedName>
    <definedName name="Z_49073133_97C6_4E81_BEFE_D9E658C173F7_.wvu.PrintTitles" localSheetId="16" hidden="1">'L-Batt Chiefs (rep)'!$1:$2</definedName>
    <definedName name="Z_49073133_97C6_4E81_BEFE_D9E658C173F7_.wvu.PrintTitles" localSheetId="18" hidden="1">'M-Mid Mgmt'!$1:$2</definedName>
    <definedName name="Z_49073133_97C6_4E81_BEFE_D9E658C173F7_.wvu.PrintTitles" localSheetId="20" hidden="1">'N-Fire (rep)'!$1:$2</definedName>
    <definedName name="Z_49073133_97C6_4E81_BEFE_D9E658C173F7_.wvu.PrintTitles" localSheetId="21" hidden="1">'P-Police (rep)'!$1:$2</definedName>
    <definedName name="Z_49073133_97C6_4E81_BEFE_D9E658C173F7_.wvu.PrintTitles" localSheetId="23" hidden="1">'R-Rec Assts'!$1:$2</definedName>
    <definedName name="Z_49073133_97C6_4E81_BEFE_D9E658C173F7_.wvu.PrintTitles" localSheetId="24" hidden="1">'S-Police Support Supvsr'!$1:$2</definedName>
    <definedName name="Z_49073133_97C6_4E81_BEFE_D9E658C173F7_.wvu.PrintTitles" localSheetId="25" hidden="1">'T-City Manager'!$1:$2</definedName>
    <definedName name="Z_49073133_97C6_4E81_BEFE_D9E658C173F7_.wvu.PrintTitles" localSheetId="26" hidden="1">'U-Batt Chief (rep)'!$1:$2</definedName>
    <definedName name="Z_49073133_97C6_4E81_BEFE_D9E658C173F7_.wvu.PrintTitles" localSheetId="27" hidden="1">'V-Fire Marshal'!$1:$2</definedName>
    <definedName name="Z_49073133_97C6_4E81_BEFE_D9E658C173F7_.wvu.Rows" localSheetId="15" hidden="1">'K1'!$2:$26</definedName>
    <definedName name="Z_6140C585_A678_4296_91B8_0C17DF653D09_.wvu.PrintArea" localSheetId="1" hidden="1">'A- Maint (rep)'!$A$1:$J$11</definedName>
    <definedName name="Z_6140C585_A678_4296_91B8_0C17DF653D09_.wvu.PrintArea" localSheetId="3" hidden="1">'C- City Council'!$A$1:$F$11</definedName>
    <definedName name="Z_6140C585_A678_4296_91B8_0C17DF653D09_.wvu.PrintArea" localSheetId="4" hidden="1">'D- Police Support (rep)'!$A$1:$J$46</definedName>
    <definedName name="Z_6140C585_A678_4296_91B8_0C17DF653D09_.wvu.PrintArea" localSheetId="5" hidden="1">'E -Executive'!$A$1:$H$24</definedName>
    <definedName name="Z_6140C585_A678_4296_91B8_0C17DF653D09_.wvu.PrintArea" localSheetId="6" hidden="1">'F - Firefighters (rep)'!$A$1:$I$44</definedName>
    <definedName name="Z_6140C585_A678_4296_91B8_0C17DF653D09_.wvu.PrintArea" localSheetId="7" hidden="1">'FN1'!$A$3:$I$143</definedName>
    <definedName name="Z_6140C585_A678_4296_91B8_0C17DF653D09_.wvu.PrintArea" localSheetId="8" hidden="1">'G - General Pay Plan'!$A$1:$H$280</definedName>
    <definedName name="Z_6140C585_A678_4296_91B8_0C17DF653D09_.wvu.PrintArea" localSheetId="10" hidden="1">'H1'!$A$1:$E$9</definedName>
    <definedName name="Z_6140C585_A678_4296_91B8_0C17DF653D09_.wvu.PrintArea" localSheetId="11" hidden="1">'I -Signals &amp; Electronics (rep)'!$A$1:$J$26</definedName>
    <definedName name="Z_6140C585_A678_4296_91B8_0C17DF653D09_.wvu.PrintArea" localSheetId="12" hidden="1">'J- Police Mgmt (rep)'!$A$1:$G$10</definedName>
    <definedName name="Z_6140C585_A678_4296_91B8_0C17DF653D09_.wvu.PrintArea" localSheetId="13" hidden="1">'J1'!$A$1:$E$26</definedName>
    <definedName name="Z_6140C585_A678_4296_91B8_0C17DF653D09_.wvu.PrintArea" localSheetId="0" hidden="1">'Job Table'!$A$1:$H$330</definedName>
    <definedName name="Z_6140C585_A678_4296_91B8_0C17DF653D09_.wvu.PrintArea" localSheetId="14" hidden="1">'K- Fire Prevention (rep)'!$A$1:$J$6</definedName>
    <definedName name="Z_6140C585_A678_4296_91B8_0C17DF653D09_.wvu.PrintArea" localSheetId="15" hidden="1">'K1'!$A$1:$J$14</definedName>
    <definedName name="Z_6140C585_A678_4296_91B8_0C17DF653D09_.wvu.PrintArea" localSheetId="16" hidden="1">'L-Batt Chiefs (rep)'!$A$1:$H$7</definedName>
    <definedName name="Z_6140C585_A678_4296_91B8_0C17DF653D09_.wvu.PrintArea" localSheetId="17" hidden="1">'LU1'!$A$1:$D$11</definedName>
    <definedName name="Z_6140C585_A678_4296_91B8_0C17DF653D09_.wvu.PrintArea" localSheetId="19" hidden="1">'M1'!$A$1:$E$7</definedName>
    <definedName name="Z_6140C585_A678_4296_91B8_0C17DF653D09_.wvu.PrintArea" localSheetId="18" hidden="1">'M-Mid Mgmt'!$A$3:$H$25</definedName>
    <definedName name="Z_6140C585_A678_4296_91B8_0C17DF653D09_.wvu.PrintArea" localSheetId="20" hidden="1">'N-Fire (rep)'!$A$1:$I$22</definedName>
    <definedName name="Z_6140C585_A678_4296_91B8_0C17DF653D09_.wvu.PrintArea" localSheetId="22" hidden="1">'P1'!$A$1:$H$53</definedName>
    <definedName name="Z_6140C585_A678_4296_91B8_0C17DF653D09_.wvu.PrintArea" localSheetId="21" hidden="1">'P-Police (rep)'!$A$1:$H$14</definedName>
    <definedName name="Z_6140C585_A678_4296_91B8_0C17DF653D09_.wvu.PrintArea" localSheetId="23" hidden="1">'R-Rec Assts'!$A$1:$G$8</definedName>
    <definedName name="Z_6140C585_A678_4296_91B8_0C17DF653D09_.wvu.PrintArea" localSheetId="24" hidden="1">'S-Police Support Supvsr'!$A$1:$G$6</definedName>
    <definedName name="Z_6140C585_A678_4296_91B8_0C17DF653D09_.wvu.PrintArea" localSheetId="25" hidden="1">'T-City Manager'!$A$1:$F$6</definedName>
    <definedName name="Z_6140C585_A678_4296_91B8_0C17DF653D09_.wvu.PrintArea" localSheetId="26" hidden="1">'U-Batt Chief (rep)'!$A$1:$H$6</definedName>
    <definedName name="Z_6140C585_A678_4296_91B8_0C17DF653D09_.wvu.PrintArea" localSheetId="27" hidden="1">'V-Fire Marshal'!$A$1:$H$6</definedName>
    <definedName name="Z_6140C585_A678_4296_91B8_0C17DF653D09_.wvu.PrintTitles" localSheetId="3" hidden="1">'C- City Council'!$1:$2</definedName>
    <definedName name="Z_6140C585_A678_4296_91B8_0C17DF653D09_.wvu.PrintTitles" localSheetId="4" hidden="1">'D- Police Support (rep)'!$1:$2</definedName>
    <definedName name="Z_6140C585_A678_4296_91B8_0C17DF653D09_.wvu.PrintTitles" localSheetId="5" hidden="1">'E -Executive'!$1:$2</definedName>
    <definedName name="Z_6140C585_A678_4296_91B8_0C17DF653D09_.wvu.PrintTitles" localSheetId="6" hidden="1">'F - Firefighters (rep)'!$1:$2</definedName>
    <definedName name="Z_6140C585_A678_4296_91B8_0C17DF653D09_.wvu.PrintTitles" localSheetId="8" hidden="1">'G - General Pay Plan'!$1:$2</definedName>
    <definedName name="Z_6140C585_A678_4296_91B8_0C17DF653D09_.wvu.PrintTitles" localSheetId="11" hidden="1">'I -Signals &amp; Electronics (rep)'!$1:$2</definedName>
    <definedName name="Z_6140C585_A678_4296_91B8_0C17DF653D09_.wvu.PrintTitles" localSheetId="12" hidden="1">'J- Police Mgmt (rep)'!$1:$2</definedName>
    <definedName name="Z_6140C585_A678_4296_91B8_0C17DF653D09_.wvu.PrintTitles" localSheetId="0" hidden="1">'Job Table'!$1:$1</definedName>
    <definedName name="Z_6140C585_A678_4296_91B8_0C17DF653D09_.wvu.PrintTitles" localSheetId="14" hidden="1">'K- Fire Prevention (rep)'!$1:$2</definedName>
    <definedName name="Z_6140C585_A678_4296_91B8_0C17DF653D09_.wvu.PrintTitles" localSheetId="16" hidden="1">'L-Batt Chiefs (rep)'!$1:$2</definedName>
    <definedName name="Z_6140C585_A678_4296_91B8_0C17DF653D09_.wvu.PrintTitles" localSheetId="18" hidden="1">'M-Mid Mgmt'!$1:$2</definedName>
    <definedName name="Z_6140C585_A678_4296_91B8_0C17DF653D09_.wvu.PrintTitles" localSheetId="20" hidden="1">'N-Fire (rep)'!$1:$2</definedName>
    <definedName name="Z_6140C585_A678_4296_91B8_0C17DF653D09_.wvu.PrintTitles" localSheetId="21" hidden="1">'P-Police (rep)'!$1:$2</definedName>
    <definedName name="Z_6140C585_A678_4296_91B8_0C17DF653D09_.wvu.PrintTitles" localSheetId="23" hidden="1">'R-Rec Assts'!$1:$2</definedName>
    <definedName name="Z_6140C585_A678_4296_91B8_0C17DF653D09_.wvu.PrintTitles" localSheetId="24" hidden="1">'S-Police Support Supvsr'!$1:$2</definedName>
    <definedName name="Z_6140C585_A678_4296_91B8_0C17DF653D09_.wvu.PrintTitles" localSheetId="25" hidden="1">'T-City Manager'!$1:$2</definedName>
    <definedName name="Z_6140C585_A678_4296_91B8_0C17DF653D09_.wvu.PrintTitles" localSheetId="26" hidden="1">'U-Batt Chief (rep)'!$1:$2</definedName>
    <definedName name="Z_6140C585_A678_4296_91B8_0C17DF653D09_.wvu.PrintTitles" localSheetId="27" hidden="1">'V-Fire Marshal'!$1:$2</definedName>
    <definedName name="Z_6140C585_A678_4296_91B8_0C17DF653D09_.wvu.Rows" localSheetId="15" hidden="1">'K1'!$2:$26</definedName>
  </definedNames>
  <calcPr calcId="179017" concurrentCalc="0"/>
  <customWorkbookViews>
    <customWorkbookView name="Ray Fleshman - Personal View" guid="{03674138-A9FA-46A6-AB09-A74C70852C0D}" mergeInterval="0" personalView="1" maximized="1" xWindow="1912" yWindow="-8" windowWidth="1936" windowHeight="1096" tabRatio="842" activeSheetId="10" showObjects="placeholders"/>
    <customWorkbookView name="City of Bellevue - Personal View" guid="{6140C585-A678-4296-91B8-0C17DF653D09}" mergeInterval="0" personalView="1" maximized="1" xWindow="-8" yWindow="-8" windowWidth="1936" windowHeight="1056" tabRatio="728" activeSheetId="30" showComments="commIndAndComment" showObjects="placeholders"/>
    <customWorkbookView name="Michelle Kast - Personal View" guid="{49073133-97C6-4E81-BEFE-D9E658C173F7}" mergeInterval="0" personalView="1" windowWidth="960" windowHeight="1032" tabRatio="728" activeSheetId="4" showObjects="placeholders"/>
  </customWorkbookViews>
</workbook>
</file>

<file path=xl/calcChain.xml><?xml version="1.0" encoding="utf-8"?>
<calcChain xmlns="http://schemas.openxmlformats.org/spreadsheetml/2006/main">
  <c r="F7" i="14" l="1"/>
  <c r="E7" i="14"/>
  <c r="E3" i="14"/>
  <c r="F3" i="14"/>
  <c r="I255" i="1"/>
  <c r="I244" i="1"/>
  <c r="I250" i="1"/>
  <c r="B18" i="1"/>
  <c r="A18" i="1"/>
  <c r="F18" i="1"/>
  <c r="G18" i="1"/>
  <c r="E18" i="1"/>
  <c r="C18" i="1"/>
  <c r="I18" i="1"/>
  <c r="G44" i="1"/>
  <c r="E44" i="1"/>
  <c r="C44" i="1"/>
  <c r="E80" i="1"/>
  <c r="G80" i="1"/>
  <c r="F80" i="1"/>
  <c r="C80" i="1"/>
  <c r="I80" i="1"/>
  <c r="B80" i="1"/>
  <c r="A80" i="1"/>
  <c r="E82" i="1"/>
  <c r="G82" i="1"/>
  <c r="F82" i="1"/>
  <c r="G85" i="1"/>
  <c r="E85" i="1"/>
  <c r="C85" i="1"/>
  <c r="F85" i="1"/>
  <c r="G9" i="1"/>
  <c r="E9" i="1"/>
  <c r="C9" i="1"/>
  <c r="F9" i="1"/>
  <c r="C255" i="1"/>
  <c r="G255" i="1"/>
  <c r="E255" i="1"/>
  <c r="B255" i="1"/>
  <c r="A255" i="1"/>
  <c r="G250" i="1"/>
  <c r="E250" i="1"/>
  <c r="C250" i="1"/>
  <c r="B250" i="1"/>
  <c r="A250" i="1"/>
  <c r="C244" i="1"/>
  <c r="B244" i="1"/>
  <c r="A244" i="1"/>
  <c r="G244" i="1"/>
  <c r="G11" i="42"/>
  <c r="H49" i="43"/>
  <c r="H53" i="43"/>
  <c r="F11" i="42"/>
  <c r="G49" i="43"/>
  <c r="G53" i="43"/>
  <c r="H52" i="43"/>
  <c r="G52" i="43"/>
  <c r="H51" i="43"/>
  <c r="G51" i="43"/>
  <c r="H50" i="43"/>
  <c r="G50" i="43"/>
  <c r="G7" i="42"/>
  <c r="H41" i="43"/>
  <c r="H45" i="43"/>
  <c r="H44" i="43"/>
  <c r="H43" i="43"/>
  <c r="H42" i="43"/>
  <c r="G3" i="42"/>
  <c r="H26" i="43"/>
  <c r="H36" i="43"/>
  <c r="F3" i="42"/>
  <c r="G26" i="43"/>
  <c r="G36" i="43"/>
  <c r="E3" i="42"/>
  <c r="F26" i="43"/>
  <c r="F36" i="43"/>
  <c r="D3" i="42"/>
  <c r="E26" i="43"/>
  <c r="E36" i="43"/>
  <c r="H35" i="43"/>
  <c r="G35" i="43"/>
  <c r="F35" i="43"/>
  <c r="E35" i="43"/>
  <c r="H34" i="43"/>
  <c r="G34" i="43"/>
  <c r="F34" i="43"/>
  <c r="E34" i="43"/>
  <c r="H33" i="43"/>
  <c r="G33" i="43"/>
  <c r="F33" i="43"/>
  <c r="E33" i="43"/>
  <c r="H32" i="43"/>
  <c r="G32" i="43"/>
  <c r="F32" i="43"/>
  <c r="E32" i="43"/>
  <c r="H31" i="43"/>
  <c r="G31" i="43"/>
  <c r="F31" i="43"/>
  <c r="E31" i="43"/>
  <c r="H30" i="43"/>
  <c r="G30" i="43"/>
  <c r="F30" i="43"/>
  <c r="E30" i="43"/>
  <c r="H29" i="43"/>
  <c r="G29" i="43"/>
  <c r="F29" i="43"/>
  <c r="E29" i="43"/>
  <c r="H28" i="43"/>
  <c r="G28" i="43"/>
  <c r="F28" i="43"/>
  <c r="E28" i="43"/>
  <c r="H27" i="43"/>
  <c r="G27" i="43"/>
  <c r="F27" i="43"/>
  <c r="E27" i="43"/>
  <c r="E14" i="43"/>
  <c r="E20" i="43"/>
  <c r="E19" i="43"/>
  <c r="E18" i="43"/>
  <c r="E17" i="43"/>
  <c r="E16" i="43"/>
  <c r="E15" i="43"/>
  <c r="E4" i="43"/>
  <c r="E6" i="43"/>
  <c r="E5" i="43"/>
  <c r="G12" i="42"/>
  <c r="G13" i="42"/>
  <c r="F12" i="42"/>
  <c r="F13" i="42"/>
  <c r="L12" i="42"/>
  <c r="O11" i="42"/>
  <c r="P9" i="42"/>
  <c r="G8" i="42"/>
  <c r="G9" i="42"/>
  <c r="P5" i="42"/>
  <c r="G4" i="42"/>
  <c r="G5" i="42"/>
  <c r="F4" i="42"/>
  <c r="F5" i="42"/>
  <c r="E4" i="42"/>
  <c r="E5" i="42"/>
  <c r="D4" i="42"/>
  <c r="D5" i="42"/>
  <c r="L4" i="42"/>
  <c r="O3" i="42"/>
  <c r="N3" i="42"/>
  <c r="M3" i="42"/>
  <c r="L3" i="42"/>
  <c r="I3" i="16"/>
  <c r="H3" i="16"/>
  <c r="G3" i="16"/>
  <c r="F3" i="16"/>
  <c r="E3" i="16"/>
  <c r="D3" i="16"/>
  <c r="H3" i="36"/>
  <c r="H34" i="40"/>
  <c r="H10" i="22"/>
  <c r="G10" i="22"/>
  <c r="M11" i="33"/>
  <c r="L11" i="33"/>
  <c r="M7" i="33"/>
  <c r="L7" i="33"/>
  <c r="F17" i="20"/>
  <c r="F4" i="20"/>
  <c r="I77" i="1"/>
  <c r="I123" i="1"/>
  <c r="I133" i="1"/>
  <c r="I131" i="1"/>
  <c r="I129" i="1"/>
  <c r="I128" i="1"/>
  <c r="I130" i="1"/>
  <c r="I127" i="1"/>
  <c r="M4" i="36"/>
  <c r="O3" i="36"/>
  <c r="G3" i="36"/>
  <c r="F3" i="36"/>
  <c r="E3" i="36"/>
  <c r="F4" i="29"/>
  <c r="E4" i="29"/>
  <c r="G4" i="29"/>
  <c r="G17" i="20"/>
  <c r="E17" i="20"/>
  <c r="G4" i="20"/>
  <c r="E4" i="20"/>
  <c r="G4" i="18"/>
  <c r="I233" i="1"/>
  <c r="F233" i="1"/>
  <c r="G233" i="1"/>
  <c r="E233" i="1"/>
  <c r="C233" i="1"/>
  <c r="B233" i="1"/>
  <c r="A233" i="1"/>
  <c r="I262" i="1"/>
  <c r="F262" i="1"/>
  <c r="G262" i="1"/>
  <c r="E262" i="1"/>
  <c r="C262" i="1"/>
  <c r="B262" i="1"/>
  <c r="A262" i="1"/>
  <c r="I190" i="1"/>
  <c r="E220" i="10"/>
  <c r="G220" i="10"/>
  <c r="F220" i="10"/>
  <c r="F219" i="10"/>
  <c r="F190" i="1"/>
  <c r="G219" i="10"/>
  <c r="G190" i="1"/>
  <c r="E219" i="10"/>
  <c r="E190" i="1"/>
  <c r="C190" i="1"/>
  <c r="B190" i="1"/>
  <c r="A190" i="1"/>
  <c r="I158" i="1"/>
  <c r="E249" i="10"/>
  <c r="G249" i="10"/>
  <c r="F249" i="10"/>
  <c r="F248" i="10"/>
  <c r="F158" i="1"/>
  <c r="G248" i="10"/>
  <c r="G158" i="1"/>
  <c r="E248" i="10"/>
  <c r="E158" i="1"/>
  <c r="C158" i="1"/>
  <c r="B158" i="1"/>
  <c r="A158" i="1"/>
  <c r="I335" i="1"/>
  <c r="E170" i="10"/>
  <c r="G170" i="10"/>
  <c r="F170" i="10"/>
  <c r="F169" i="10"/>
  <c r="F335" i="1"/>
  <c r="G169" i="10"/>
  <c r="G335" i="1"/>
  <c r="E169" i="10"/>
  <c r="E335" i="1"/>
  <c r="C335" i="1"/>
  <c r="B335" i="1"/>
  <c r="A335" i="1"/>
  <c r="F135" i="1"/>
  <c r="G135" i="1"/>
  <c r="E135" i="1"/>
  <c r="C135" i="1"/>
  <c r="B135" i="1"/>
  <c r="A135" i="1"/>
  <c r="I342" i="1"/>
  <c r="F342" i="1"/>
  <c r="G342" i="1"/>
  <c r="E342" i="1"/>
  <c r="C342" i="1"/>
  <c r="B342" i="1"/>
  <c r="A342" i="1"/>
  <c r="G272" i="10"/>
  <c r="E272" i="10"/>
  <c r="G263" i="10"/>
  <c r="E263" i="10"/>
  <c r="G208" i="10"/>
  <c r="E208" i="10"/>
  <c r="G193" i="10"/>
  <c r="E193" i="10"/>
  <c r="G147" i="10"/>
  <c r="E147" i="10"/>
  <c r="G134" i="10"/>
  <c r="E134" i="10"/>
  <c r="G107" i="10"/>
  <c r="E107" i="10"/>
  <c r="G87" i="10"/>
  <c r="E87" i="10"/>
  <c r="G74" i="10"/>
  <c r="E74" i="10"/>
  <c r="G65" i="10"/>
  <c r="E65" i="10"/>
  <c r="G58" i="10"/>
  <c r="E58" i="10"/>
  <c r="G49" i="10"/>
  <c r="E49" i="10"/>
  <c r="G44" i="10"/>
  <c r="E44" i="10"/>
  <c r="G40" i="10"/>
  <c r="E40" i="10"/>
  <c r="G32" i="10"/>
  <c r="E32" i="10"/>
  <c r="G28" i="10"/>
  <c r="E28" i="10"/>
  <c r="G24" i="10"/>
  <c r="E24" i="10"/>
  <c r="G20" i="10"/>
  <c r="E20" i="10"/>
  <c r="G16" i="10"/>
  <c r="E16" i="10"/>
  <c r="G12" i="10"/>
  <c r="E12" i="10"/>
  <c r="G8" i="10"/>
  <c r="E8" i="10"/>
  <c r="G4" i="10"/>
  <c r="E54" i="41"/>
  <c r="F54" i="41"/>
  <c r="G54" i="41"/>
  <c r="H54" i="41"/>
  <c r="I54" i="41"/>
  <c r="H89" i="41"/>
  <c r="I89" i="41"/>
  <c r="H106" i="41"/>
  <c r="I106" i="41"/>
  <c r="I143" i="41"/>
  <c r="H143" i="41"/>
  <c r="I126" i="41"/>
  <c r="H126" i="41"/>
  <c r="H3" i="40"/>
  <c r="G22" i="7"/>
  <c r="G21" i="7"/>
  <c r="E22" i="7"/>
  <c r="E23" i="7"/>
  <c r="G8" i="7"/>
  <c r="G9" i="7"/>
  <c r="E8" i="7"/>
  <c r="G4" i="7"/>
  <c r="G3" i="7"/>
  <c r="E4" i="7"/>
  <c r="N40" i="39"/>
  <c r="R39" i="39"/>
  <c r="Q39" i="39"/>
  <c r="P39" i="39"/>
  <c r="O39" i="39"/>
  <c r="N39" i="39"/>
  <c r="N3" i="39"/>
  <c r="N4" i="39"/>
  <c r="R3" i="39"/>
  <c r="Q3" i="39"/>
  <c r="P3" i="39"/>
  <c r="O3" i="39"/>
  <c r="R49" i="39"/>
  <c r="Q49" i="39"/>
  <c r="P49" i="39"/>
  <c r="O49" i="39"/>
  <c r="N49" i="39"/>
  <c r="N24" i="39"/>
  <c r="R23" i="39"/>
  <c r="Q23" i="39"/>
  <c r="P23" i="39"/>
  <c r="O23" i="39"/>
  <c r="N23" i="39"/>
  <c r="I43" i="39"/>
  <c r="H43" i="39"/>
  <c r="G43" i="39"/>
  <c r="F43" i="39"/>
  <c r="E43" i="39"/>
  <c r="D43" i="39"/>
  <c r="I39" i="39"/>
  <c r="H39" i="39"/>
  <c r="G39" i="39"/>
  <c r="F39" i="39"/>
  <c r="E39" i="39"/>
  <c r="D39" i="39"/>
  <c r="I35" i="39"/>
  <c r="H35" i="39"/>
  <c r="G35" i="39"/>
  <c r="F35" i="39"/>
  <c r="E35" i="39"/>
  <c r="D35" i="39"/>
  <c r="I31" i="39"/>
  <c r="H31" i="39"/>
  <c r="G31" i="39"/>
  <c r="F31" i="39"/>
  <c r="E31" i="39"/>
  <c r="D31" i="39"/>
  <c r="I23" i="39"/>
  <c r="H23" i="39"/>
  <c r="G23" i="39"/>
  <c r="F23" i="39"/>
  <c r="E23" i="39"/>
  <c r="D23" i="39"/>
  <c r="I19" i="39"/>
  <c r="H19" i="39"/>
  <c r="G19" i="39"/>
  <c r="F19" i="39"/>
  <c r="E19" i="39"/>
  <c r="D19" i="39"/>
  <c r="I15" i="39"/>
  <c r="H15" i="39"/>
  <c r="G15" i="39"/>
  <c r="F15" i="39"/>
  <c r="E15" i="39"/>
  <c r="D15" i="39"/>
  <c r="I11" i="39"/>
  <c r="H11" i="39"/>
  <c r="G11" i="39"/>
  <c r="F11" i="39"/>
  <c r="E11" i="39"/>
  <c r="D11" i="39"/>
  <c r="I7" i="39"/>
  <c r="H7" i="39"/>
  <c r="G7" i="39"/>
  <c r="F7" i="39"/>
  <c r="E7" i="39"/>
  <c r="D7" i="39"/>
  <c r="I3" i="39"/>
  <c r="H3" i="39"/>
  <c r="G3" i="39"/>
  <c r="F3" i="39"/>
  <c r="E3" i="39"/>
  <c r="D3" i="39"/>
  <c r="I121" i="1"/>
  <c r="E4" i="17"/>
  <c r="F4" i="17"/>
  <c r="F9" i="17"/>
  <c r="G4" i="17"/>
  <c r="H4" i="17"/>
  <c r="I4" i="17"/>
  <c r="I17" i="17"/>
  <c r="J4" i="17"/>
  <c r="J14" i="17"/>
  <c r="E6" i="15"/>
  <c r="E7" i="15"/>
  <c r="E8" i="15"/>
  <c r="E9" i="15"/>
  <c r="E11" i="15"/>
  <c r="E5" i="15"/>
  <c r="H19" i="22"/>
  <c r="H15" i="22"/>
  <c r="H3" i="22"/>
  <c r="E5" i="41"/>
  <c r="E6" i="41"/>
  <c r="E7" i="41"/>
  <c r="E8" i="41"/>
  <c r="E9" i="41"/>
  <c r="E4" i="41"/>
  <c r="H24" i="40"/>
  <c r="H29" i="40"/>
  <c r="I94" i="41"/>
  <c r="G29" i="40"/>
  <c r="H94" i="41"/>
  <c r="H39" i="40"/>
  <c r="I131" i="41"/>
  <c r="G39" i="40"/>
  <c r="H131" i="41"/>
  <c r="I111" i="41"/>
  <c r="G34" i="40"/>
  <c r="H111" i="41"/>
  <c r="I74" i="41"/>
  <c r="G24" i="40"/>
  <c r="H74" i="41"/>
  <c r="H19" i="40"/>
  <c r="F19" i="40"/>
  <c r="G58" i="41"/>
  <c r="F58" i="41"/>
  <c r="G19" i="40"/>
  <c r="H58" i="41"/>
  <c r="I58" i="41"/>
  <c r="E58" i="41"/>
  <c r="F39" i="41"/>
  <c r="H14" i="40"/>
  <c r="F14" i="40"/>
  <c r="G39" i="41"/>
  <c r="G14" i="40"/>
  <c r="H39" i="41"/>
  <c r="I39" i="41"/>
  <c r="E39" i="41"/>
  <c r="E3" i="40"/>
  <c r="F20" i="41"/>
  <c r="F3" i="40"/>
  <c r="G20" i="41"/>
  <c r="G3" i="40"/>
  <c r="H20" i="41"/>
  <c r="I20" i="41"/>
  <c r="D3" i="40"/>
  <c r="E20" i="41"/>
  <c r="H9" i="40"/>
  <c r="I142" i="41"/>
  <c r="H142" i="41"/>
  <c r="I141" i="41"/>
  <c r="H141" i="41"/>
  <c r="I140" i="41"/>
  <c r="H140" i="41"/>
  <c r="I139" i="41"/>
  <c r="H139" i="41"/>
  <c r="I138" i="41"/>
  <c r="H138" i="41"/>
  <c r="I137" i="41"/>
  <c r="H137" i="41"/>
  <c r="I135" i="41"/>
  <c r="H135" i="41"/>
  <c r="I134" i="41"/>
  <c r="H134" i="41"/>
  <c r="I133" i="41"/>
  <c r="H133" i="41"/>
  <c r="I132" i="41"/>
  <c r="H132" i="41"/>
  <c r="I125" i="41"/>
  <c r="H125" i="41"/>
  <c r="I124" i="41"/>
  <c r="H124" i="41"/>
  <c r="I123" i="41"/>
  <c r="H123" i="41"/>
  <c r="I122" i="41"/>
  <c r="H122" i="41"/>
  <c r="I121" i="41"/>
  <c r="H121" i="41"/>
  <c r="I120" i="41"/>
  <c r="H120" i="41"/>
  <c r="I118" i="41"/>
  <c r="H118" i="41"/>
  <c r="I117" i="41"/>
  <c r="H117" i="41"/>
  <c r="I115" i="41"/>
  <c r="H115" i="41"/>
  <c r="I114" i="41"/>
  <c r="H114" i="41"/>
  <c r="I113" i="41"/>
  <c r="H113" i="41"/>
  <c r="I112" i="41"/>
  <c r="H112" i="41"/>
  <c r="I105" i="41"/>
  <c r="H105" i="41"/>
  <c r="I104" i="41"/>
  <c r="H104" i="41"/>
  <c r="I103" i="41"/>
  <c r="H103" i="41"/>
  <c r="I102" i="41"/>
  <c r="H102" i="41"/>
  <c r="I101" i="41"/>
  <c r="H101" i="41"/>
  <c r="I100" i="41"/>
  <c r="H100" i="41"/>
  <c r="I98" i="41"/>
  <c r="H98" i="41"/>
  <c r="I97" i="41"/>
  <c r="H97" i="41"/>
  <c r="I96" i="41"/>
  <c r="H96" i="41"/>
  <c r="I95" i="41"/>
  <c r="H95" i="41"/>
  <c r="I88" i="41"/>
  <c r="H88" i="41"/>
  <c r="I87" i="41"/>
  <c r="H87" i="41"/>
  <c r="I86" i="41"/>
  <c r="H86" i="41"/>
  <c r="I85" i="41"/>
  <c r="H85" i="41"/>
  <c r="I84" i="41"/>
  <c r="H84" i="41"/>
  <c r="I83" i="41"/>
  <c r="H83" i="41"/>
  <c r="I81" i="41"/>
  <c r="H81" i="41"/>
  <c r="I80" i="41"/>
  <c r="H80" i="41"/>
  <c r="I78" i="41"/>
  <c r="H78" i="41"/>
  <c r="I77" i="41"/>
  <c r="H77" i="41"/>
  <c r="I76" i="41"/>
  <c r="H76" i="41"/>
  <c r="I75" i="41"/>
  <c r="H75" i="41"/>
  <c r="I70" i="41"/>
  <c r="H70" i="41"/>
  <c r="G70" i="41"/>
  <c r="I69" i="41"/>
  <c r="H69" i="41"/>
  <c r="G69" i="41"/>
  <c r="F69" i="41"/>
  <c r="E69" i="41"/>
  <c r="I68" i="41"/>
  <c r="H68" i="41"/>
  <c r="G68" i="41"/>
  <c r="F68" i="41"/>
  <c r="E68" i="41"/>
  <c r="I67" i="41"/>
  <c r="H67" i="41"/>
  <c r="G67" i="41"/>
  <c r="F67" i="41"/>
  <c r="E67" i="41"/>
  <c r="I66" i="41"/>
  <c r="H66" i="41"/>
  <c r="G66" i="41"/>
  <c r="F66" i="41"/>
  <c r="E66" i="41"/>
  <c r="I65" i="41"/>
  <c r="H65" i="41"/>
  <c r="G65" i="41"/>
  <c r="F65" i="41"/>
  <c r="E65" i="41"/>
  <c r="I64" i="41"/>
  <c r="H64" i="41"/>
  <c r="G64" i="41"/>
  <c r="F64" i="41"/>
  <c r="E64" i="41"/>
  <c r="I62" i="41"/>
  <c r="H62" i="41"/>
  <c r="G62" i="41"/>
  <c r="F62" i="41"/>
  <c r="E62" i="41"/>
  <c r="I61" i="41"/>
  <c r="H61" i="41"/>
  <c r="G61" i="41"/>
  <c r="F61" i="41"/>
  <c r="E61" i="41"/>
  <c r="I60" i="41"/>
  <c r="H60" i="41"/>
  <c r="G60" i="41"/>
  <c r="F60" i="41"/>
  <c r="E60" i="41"/>
  <c r="I59" i="41"/>
  <c r="H59" i="41"/>
  <c r="G59" i="41"/>
  <c r="F59" i="41"/>
  <c r="E59" i="41"/>
  <c r="I53" i="41"/>
  <c r="H53" i="41"/>
  <c r="G53" i="41"/>
  <c r="F53" i="41"/>
  <c r="E53" i="41"/>
  <c r="I52" i="41"/>
  <c r="H52" i="41"/>
  <c r="G52" i="41"/>
  <c r="F52" i="41"/>
  <c r="E52" i="41"/>
  <c r="I51" i="41"/>
  <c r="H51" i="41"/>
  <c r="G51" i="41"/>
  <c r="F51" i="41"/>
  <c r="E51" i="41"/>
  <c r="I50" i="41"/>
  <c r="H50" i="41"/>
  <c r="G50" i="41"/>
  <c r="F50" i="41"/>
  <c r="E50" i="41"/>
  <c r="I49" i="41"/>
  <c r="H49" i="41"/>
  <c r="G49" i="41"/>
  <c r="F49" i="41"/>
  <c r="E49" i="41"/>
  <c r="I48" i="41"/>
  <c r="H48" i="41"/>
  <c r="G48" i="41"/>
  <c r="F48" i="41"/>
  <c r="E48" i="41"/>
  <c r="I46" i="41"/>
  <c r="H46" i="41"/>
  <c r="G46" i="41"/>
  <c r="I45" i="41"/>
  <c r="H45" i="41"/>
  <c r="G45" i="41"/>
  <c r="F45" i="41"/>
  <c r="E45" i="41"/>
  <c r="I43" i="41"/>
  <c r="H43" i="41"/>
  <c r="G43" i="41"/>
  <c r="F43" i="41"/>
  <c r="E43" i="41"/>
  <c r="I42" i="41"/>
  <c r="H42" i="41"/>
  <c r="G42" i="41"/>
  <c r="F42" i="41"/>
  <c r="E42" i="41"/>
  <c r="I41" i="41"/>
  <c r="H41" i="41"/>
  <c r="G41" i="41"/>
  <c r="F41" i="41"/>
  <c r="E41" i="41"/>
  <c r="I40" i="41"/>
  <c r="H40" i="41"/>
  <c r="G40" i="41"/>
  <c r="F40" i="41"/>
  <c r="E40" i="41"/>
  <c r="I35" i="41"/>
  <c r="H35" i="41"/>
  <c r="G35" i="41"/>
  <c r="F35" i="41"/>
  <c r="E35" i="41"/>
  <c r="I34" i="41"/>
  <c r="H34" i="41"/>
  <c r="G34" i="41"/>
  <c r="F34" i="41"/>
  <c r="E34" i="41"/>
  <c r="I33" i="41"/>
  <c r="H33" i="41"/>
  <c r="G33" i="41"/>
  <c r="F33" i="41"/>
  <c r="E33" i="41"/>
  <c r="I32" i="41"/>
  <c r="H32" i="41"/>
  <c r="G32" i="41"/>
  <c r="F32" i="41"/>
  <c r="E32" i="41"/>
  <c r="I31" i="41"/>
  <c r="H31" i="41"/>
  <c r="G31" i="41"/>
  <c r="F31" i="41"/>
  <c r="E31" i="41"/>
  <c r="I30" i="41"/>
  <c r="H30" i="41"/>
  <c r="G30" i="41"/>
  <c r="F30" i="41"/>
  <c r="E30" i="41"/>
  <c r="I29" i="41"/>
  <c r="H29" i="41"/>
  <c r="G29" i="41"/>
  <c r="F29" i="41"/>
  <c r="E29" i="41"/>
  <c r="I27" i="41"/>
  <c r="H27" i="41"/>
  <c r="G27" i="41"/>
  <c r="F27" i="41"/>
  <c r="E27" i="41"/>
  <c r="I26" i="41"/>
  <c r="H26" i="41"/>
  <c r="G26" i="41"/>
  <c r="F26" i="41"/>
  <c r="E26" i="41"/>
  <c r="I24" i="41"/>
  <c r="H24" i="41"/>
  <c r="G24" i="41"/>
  <c r="F24" i="41"/>
  <c r="I23" i="41"/>
  <c r="H23" i="41"/>
  <c r="G23" i="41"/>
  <c r="F23" i="41"/>
  <c r="E23" i="41"/>
  <c r="I22" i="41"/>
  <c r="H22" i="41"/>
  <c r="G22" i="41"/>
  <c r="F22" i="41"/>
  <c r="E22" i="41"/>
  <c r="I21" i="41"/>
  <c r="H21" i="41"/>
  <c r="G21" i="41"/>
  <c r="F21" i="41"/>
  <c r="E21" i="41"/>
  <c r="H43" i="40"/>
  <c r="G43" i="40"/>
  <c r="H40" i="40"/>
  <c r="H42" i="40"/>
  <c r="G40" i="40"/>
  <c r="G42" i="40"/>
  <c r="H41" i="40"/>
  <c r="G41" i="40"/>
  <c r="M40" i="40"/>
  <c r="P39" i="40"/>
  <c r="H38" i="40"/>
  <c r="G38" i="40"/>
  <c r="H35" i="40"/>
  <c r="H37" i="40"/>
  <c r="G35" i="40"/>
  <c r="G37" i="40"/>
  <c r="Q36" i="40"/>
  <c r="P36" i="40"/>
  <c r="H36" i="40"/>
  <c r="G36" i="40"/>
  <c r="M35" i="40"/>
  <c r="P34" i="40"/>
  <c r="H33" i="40"/>
  <c r="G33" i="40"/>
  <c r="H30" i="40"/>
  <c r="H32" i="40"/>
  <c r="G30" i="40"/>
  <c r="G32" i="40"/>
  <c r="Q31" i="40"/>
  <c r="P31" i="40"/>
  <c r="H31" i="40"/>
  <c r="G31" i="40"/>
  <c r="M30" i="40"/>
  <c r="P29" i="40"/>
  <c r="H28" i="40"/>
  <c r="G28" i="40"/>
  <c r="H25" i="40"/>
  <c r="H27" i="40"/>
  <c r="G25" i="40"/>
  <c r="G27" i="40"/>
  <c r="Q26" i="40"/>
  <c r="P26" i="40"/>
  <c r="H26" i="40"/>
  <c r="G26" i="40"/>
  <c r="M25" i="40"/>
  <c r="P24" i="40"/>
  <c r="H23" i="40"/>
  <c r="G23" i="40"/>
  <c r="F23" i="40"/>
  <c r="H20" i="40"/>
  <c r="H22" i="40"/>
  <c r="G20" i="40"/>
  <c r="G22" i="40"/>
  <c r="F20" i="40"/>
  <c r="F22" i="40"/>
  <c r="Q21" i="40"/>
  <c r="P21" i="40"/>
  <c r="H21" i="40"/>
  <c r="G21" i="40"/>
  <c r="F21" i="40"/>
  <c r="M20" i="40"/>
  <c r="P19" i="40"/>
  <c r="O19" i="40"/>
  <c r="N19" i="40"/>
  <c r="M19" i="40"/>
  <c r="H18" i="40"/>
  <c r="G18" i="40"/>
  <c r="F18" i="40"/>
  <c r="H15" i="40"/>
  <c r="H17" i="40"/>
  <c r="G15" i="40"/>
  <c r="G17" i="40"/>
  <c r="F15" i="40"/>
  <c r="F17" i="40"/>
  <c r="Q16" i="40"/>
  <c r="P16" i="40"/>
  <c r="O16" i="40"/>
  <c r="N16" i="40"/>
  <c r="M16" i="40"/>
  <c r="H16" i="40"/>
  <c r="G16" i="40"/>
  <c r="F16" i="40"/>
  <c r="M15" i="40"/>
  <c r="P14" i="40"/>
  <c r="O14" i="40"/>
  <c r="N14" i="40"/>
  <c r="M14" i="40"/>
  <c r="H13" i="40"/>
  <c r="G7" i="40"/>
  <c r="G9" i="40"/>
  <c r="G13" i="40"/>
  <c r="F7" i="40"/>
  <c r="F9" i="40"/>
  <c r="F13" i="40"/>
  <c r="H10" i="40"/>
  <c r="H12" i="40"/>
  <c r="G10" i="40"/>
  <c r="G12" i="40"/>
  <c r="F10" i="40"/>
  <c r="F12" i="40"/>
  <c r="H11" i="40"/>
  <c r="G11" i="40"/>
  <c r="F11" i="40"/>
  <c r="H7" i="40"/>
  <c r="E7" i="40"/>
  <c r="D7" i="40"/>
  <c r="H4" i="40"/>
  <c r="H6" i="40"/>
  <c r="G4" i="40"/>
  <c r="G6" i="40"/>
  <c r="F4" i="40"/>
  <c r="F6" i="40"/>
  <c r="E4" i="40"/>
  <c r="E6" i="40"/>
  <c r="D4" i="40"/>
  <c r="D6" i="40"/>
  <c r="Q5" i="40"/>
  <c r="P5" i="40"/>
  <c r="O5" i="40"/>
  <c r="N5" i="40"/>
  <c r="M5" i="40"/>
  <c r="H5" i="40"/>
  <c r="G5" i="40"/>
  <c r="F5" i="40"/>
  <c r="E5" i="40"/>
  <c r="D5" i="40"/>
  <c r="W3" i="40"/>
  <c r="V3" i="40"/>
  <c r="U3" i="40"/>
  <c r="T3" i="40"/>
  <c r="S3" i="40"/>
  <c r="S4" i="40"/>
  <c r="M4" i="40"/>
  <c r="P3" i="40"/>
  <c r="O3" i="40"/>
  <c r="N3" i="40"/>
  <c r="M3" i="40"/>
  <c r="G200" i="1"/>
  <c r="E200" i="1"/>
  <c r="F200" i="1"/>
  <c r="I259" i="1"/>
  <c r="I200" i="1"/>
  <c r="I257" i="1"/>
  <c r="I251" i="1"/>
  <c r="I252" i="1"/>
  <c r="I258" i="1"/>
  <c r="I201" i="1"/>
  <c r="I256" i="1"/>
  <c r="I260" i="1"/>
  <c r="I246" i="1"/>
  <c r="I245" i="1"/>
  <c r="I248" i="1"/>
  <c r="I247" i="1"/>
  <c r="G260" i="1"/>
  <c r="E260" i="1"/>
  <c r="F260" i="1"/>
  <c r="C200" i="1"/>
  <c r="C260" i="1"/>
  <c r="G259" i="1"/>
  <c r="G257" i="1"/>
  <c r="G251" i="1"/>
  <c r="G252" i="1"/>
  <c r="G258" i="1"/>
  <c r="I27" i="39"/>
  <c r="G201" i="1"/>
  <c r="G256" i="1"/>
  <c r="G246" i="1"/>
  <c r="G245" i="1"/>
  <c r="G248" i="1"/>
  <c r="E259" i="1"/>
  <c r="E257" i="1"/>
  <c r="E251" i="1"/>
  <c r="F251" i="1"/>
  <c r="E252" i="1"/>
  <c r="F252" i="1"/>
  <c r="E258" i="1"/>
  <c r="F258" i="1"/>
  <c r="E256" i="1"/>
  <c r="F256" i="1"/>
  <c r="E246" i="1"/>
  <c r="F246" i="1"/>
  <c r="E245" i="1"/>
  <c r="F245" i="1"/>
  <c r="E248" i="1"/>
  <c r="F248" i="1"/>
  <c r="G247" i="1"/>
  <c r="E247" i="1"/>
  <c r="C259" i="1"/>
  <c r="C257" i="1"/>
  <c r="C251" i="1"/>
  <c r="C252" i="1"/>
  <c r="C258" i="1"/>
  <c r="C201" i="1"/>
  <c r="C256" i="1"/>
  <c r="C246" i="1"/>
  <c r="C245" i="1"/>
  <c r="C248" i="1"/>
  <c r="C247" i="1"/>
  <c r="B259" i="1"/>
  <c r="B200" i="1"/>
  <c r="B257" i="1"/>
  <c r="B251" i="1"/>
  <c r="B252" i="1"/>
  <c r="B258" i="1"/>
  <c r="B201" i="1"/>
  <c r="B256" i="1"/>
  <c r="B260" i="1"/>
  <c r="B246" i="1"/>
  <c r="B245" i="1"/>
  <c r="B248" i="1"/>
  <c r="B247" i="1"/>
  <c r="A256" i="1"/>
  <c r="A260" i="1"/>
  <c r="A246" i="1"/>
  <c r="A245" i="1"/>
  <c r="A248" i="1"/>
  <c r="A259" i="1"/>
  <c r="A200" i="1"/>
  <c r="A257" i="1"/>
  <c r="A251" i="1"/>
  <c r="A252" i="1"/>
  <c r="A258" i="1"/>
  <c r="A201" i="1"/>
  <c r="A247" i="1"/>
  <c r="G83" i="39"/>
  <c r="G84" i="39"/>
  <c r="G85" i="39"/>
  <c r="I83" i="39"/>
  <c r="H83" i="39"/>
  <c r="R83" i="39"/>
  <c r="E83" i="39"/>
  <c r="D83" i="39"/>
  <c r="N83" i="39"/>
  <c r="N84" i="39"/>
  <c r="H84" i="39"/>
  <c r="H85" i="39"/>
  <c r="F83" i="39"/>
  <c r="P83" i="39"/>
  <c r="O83" i="39"/>
  <c r="E84" i="39"/>
  <c r="E85" i="39"/>
  <c r="D84" i="39"/>
  <c r="D85" i="39"/>
  <c r="F78" i="39"/>
  <c r="F79" i="39"/>
  <c r="F80" i="39"/>
  <c r="I78" i="39"/>
  <c r="I79" i="39"/>
  <c r="I80" i="39"/>
  <c r="H78" i="39"/>
  <c r="H79" i="39"/>
  <c r="H80" i="39"/>
  <c r="G78" i="39"/>
  <c r="G79" i="39"/>
  <c r="G80" i="39"/>
  <c r="E78" i="39"/>
  <c r="E79" i="39"/>
  <c r="E80" i="39"/>
  <c r="D78" i="39"/>
  <c r="D79" i="39"/>
  <c r="D80" i="39"/>
  <c r="H74" i="39"/>
  <c r="H75" i="39"/>
  <c r="H76" i="39"/>
  <c r="D74" i="39"/>
  <c r="D75" i="39"/>
  <c r="D76" i="39"/>
  <c r="I74" i="39"/>
  <c r="I75" i="39"/>
  <c r="I76" i="39"/>
  <c r="G74" i="39"/>
  <c r="G75" i="39"/>
  <c r="G76" i="39"/>
  <c r="F74" i="39"/>
  <c r="F75" i="39"/>
  <c r="F76" i="39"/>
  <c r="E74" i="39"/>
  <c r="E75" i="39"/>
  <c r="E76" i="39"/>
  <c r="G69" i="39"/>
  <c r="G70" i="39"/>
  <c r="G71" i="39"/>
  <c r="I69" i="39"/>
  <c r="H69" i="39"/>
  <c r="R69" i="39"/>
  <c r="E69" i="39"/>
  <c r="D69" i="39"/>
  <c r="N69" i="39"/>
  <c r="N70" i="39"/>
  <c r="H70" i="39"/>
  <c r="H71" i="39"/>
  <c r="F69" i="39"/>
  <c r="P69" i="39"/>
  <c r="O69" i="39"/>
  <c r="E70" i="39"/>
  <c r="E71" i="39"/>
  <c r="D70" i="39"/>
  <c r="D71" i="39"/>
  <c r="G65" i="39"/>
  <c r="G66" i="39"/>
  <c r="G67" i="39"/>
  <c r="I65" i="39"/>
  <c r="H65" i="39"/>
  <c r="R65" i="39"/>
  <c r="E65" i="39"/>
  <c r="D65" i="39"/>
  <c r="N65" i="39"/>
  <c r="N66" i="39"/>
  <c r="H66" i="39"/>
  <c r="H67" i="39"/>
  <c r="F65" i="39"/>
  <c r="P65" i="39"/>
  <c r="O65" i="39"/>
  <c r="E66" i="39"/>
  <c r="E67" i="39"/>
  <c r="D66" i="39"/>
  <c r="D67" i="39"/>
  <c r="I61" i="39"/>
  <c r="I62" i="39"/>
  <c r="I63" i="39"/>
  <c r="F57" i="39"/>
  <c r="F58" i="39"/>
  <c r="F59" i="39"/>
  <c r="H57" i="39"/>
  <c r="G57" i="39"/>
  <c r="Q57" i="39"/>
  <c r="I57" i="39"/>
  <c r="R57" i="39"/>
  <c r="H58" i="39"/>
  <c r="H59" i="39"/>
  <c r="G58" i="39"/>
  <c r="G59" i="39"/>
  <c r="E57" i="39"/>
  <c r="O57" i="39"/>
  <c r="D57" i="39"/>
  <c r="N57" i="39"/>
  <c r="D58" i="39"/>
  <c r="D59" i="39"/>
  <c r="E49" i="39"/>
  <c r="D49" i="39"/>
  <c r="I49" i="39"/>
  <c r="I50" i="39"/>
  <c r="I51" i="39"/>
  <c r="H49" i="39"/>
  <c r="H50" i="39"/>
  <c r="H51" i="39"/>
  <c r="G49" i="39"/>
  <c r="G50" i="39"/>
  <c r="G51" i="39"/>
  <c r="F49" i="39"/>
  <c r="E50" i="39"/>
  <c r="E51" i="39"/>
  <c r="D50" i="39"/>
  <c r="D51" i="39"/>
  <c r="G44" i="39"/>
  <c r="G45" i="39"/>
  <c r="R43" i="39"/>
  <c r="H44" i="39"/>
  <c r="H45" i="39"/>
  <c r="P43" i="39"/>
  <c r="O43" i="39"/>
  <c r="D44" i="39"/>
  <c r="D45" i="39"/>
  <c r="I40" i="39"/>
  <c r="I41" i="39"/>
  <c r="H40" i="39"/>
  <c r="H41" i="39"/>
  <c r="E40" i="39"/>
  <c r="E41" i="39"/>
  <c r="D40" i="39"/>
  <c r="D41" i="39"/>
  <c r="G40" i="39"/>
  <c r="G41" i="39"/>
  <c r="F40" i="39"/>
  <c r="F41" i="39"/>
  <c r="I36" i="39"/>
  <c r="I37" i="39"/>
  <c r="H36" i="39"/>
  <c r="H37" i="39"/>
  <c r="E36" i="39"/>
  <c r="E37" i="39"/>
  <c r="D36" i="39"/>
  <c r="D37" i="39"/>
  <c r="G36" i="39"/>
  <c r="G37" i="39"/>
  <c r="R35" i="39"/>
  <c r="N35" i="39"/>
  <c r="N36" i="39"/>
  <c r="Q35" i="39"/>
  <c r="I32" i="39"/>
  <c r="I33" i="39"/>
  <c r="H32" i="39"/>
  <c r="H33" i="39"/>
  <c r="E32" i="39"/>
  <c r="E33" i="39"/>
  <c r="D32" i="39"/>
  <c r="D33" i="39"/>
  <c r="R31" i="39"/>
  <c r="N31" i="39"/>
  <c r="N32" i="39"/>
  <c r="P31" i="39"/>
  <c r="D24" i="39"/>
  <c r="D25" i="39"/>
  <c r="I24" i="39"/>
  <c r="I25" i="39"/>
  <c r="F24" i="39"/>
  <c r="F25" i="39"/>
  <c r="E24" i="39"/>
  <c r="E25" i="39"/>
  <c r="H24" i="39"/>
  <c r="H25" i="39"/>
  <c r="G24" i="39"/>
  <c r="G25" i="39"/>
  <c r="F20" i="39"/>
  <c r="F21" i="39"/>
  <c r="I20" i="39"/>
  <c r="I21" i="39"/>
  <c r="E20" i="39"/>
  <c r="E21" i="39"/>
  <c r="O19" i="39"/>
  <c r="R19" i="39"/>
  <c r="Q19" i="39"/>
  <c r="G20" i="39"/>
  <c r="G21" i="39"/>
  <c r="N19" i="39"/>
  <c r="D20" i="39"/>
  <c r="D21" i="39"/>
  <c r="F16" i="39"/>
  <c r="F17" i="39"/>
  <c r="I16" i="39"/>
  <c r="I17" i="39"/>
  <c r="E16" i="39"/>
  <c r="E17" i="39"/>
  <c r="O15" i="39"/>
  <c r="R15" i="39"/>
  <c r="Q15" i="39"/>
  <c r="G16" i="39"/>
  <c r="G17" i="39"/>
  <c r="N15" i="39"/>
  <c r="D16" i="39"/>
  <c r="D17" i="39"/>
  <c r="F12" i="39"/>
  <c r="F13" i="39"/>
  <c r="I12" i="39"/>
  <c r="I13" i="39"/>
  <c r="E12" i="39"/>
  <c r="E13" i="39"/>
  <c r="O11" i="39"/>
  <c r="R11" i="39"/>
  <c r="Q11" i="39"/>
  <c r="G12" i="39"/>
  <c r="G13" i="39"/>
  <c r="N11" i="39"/>
  <c r="D12" i="39"/>
  <c r="D13" i="39"/>
  <c r="F8" i="39"/>
  <c r="F9" i="39"/>
  <c r="I8" i="39"/>
  <c r="I9" i="39"/>
  <c r="E8" i="39"/>
  <c r="E9" i="39"/>
  <c r="O7" i="39"/>
  <c r="I28" i="39"/>
  <c r="I29" i="39"/>
  <c r="Q7" i="39"/>
  <c r="G8" i="39"/>
  <c r="G9" i="39"/>
  <c r="N7" i="39"/>
  <c r="D8" i="39"/>
  <c r="D9" i="39"/>
  <c r="D4" i="39"/>
  <c r="D5" i="39"/>
  <c r="I4" i="39"/>
  <c r="I5" i="39"/>
  <c r="H4" i="39"/>
  <c r="H5" i="39"/>
  <c r="G4" i="39"/>
  <c r="G5" i="39"/>
  <c r="F36" i="39"/>
  <c r="F37" i="39"/>
  <c r="O35" i="39"/>
  <c r="E4" i="39"/>
  <c r="E5" i="39"/>
  <c r="Q31" i="39"/>
  <c r="P35" i="39"/>
  <c r="P7" i="39"/>
  <c r="H8" i="39"/>
  <c r="H9" i="39"/>
  <c r="P11" i="39"/>
  <c r="H12" i="39"/>
  <c r="H13" i="39"/>
  <c r="P15" i="39"/>
  <c r="H16" i="39"/>
  <c r="H17" i="39"/>
  <c r="P19" i="39"/>
  <c r="H20" i="39"/>
  <c r="H21" i="39"/>
  <c r="F32" i="39"/>
  <c r="F33" i="39"/>
  <c r="O31" i="39"/>
  <c r="G32" i="39"/>
  <c r="G33" i="39"/>
  <c r="N43" i="39"/>
  <c r="E44" i="39"/>
  <c r="E45" i="39"/>
  <c r="I44" i="39"/>
  <c r="I45" i="39"/>
  <c r="I66" i="39"/>
  <c r="I67" i="39"/>
  <c r="I70" i="39"/>
  <c r="I71" i="39"/>
  <c r="I84" i="39"/>
  <c r="I85" i="39"/>
  <c r="Q43" i="39"/>
  <c r="F44" i="39"/>
  <c r="F45" i="39"/>
  <c r="N44" i="39"/>
  <c r="P57" i="39"/>
  <c r="E58" i="39"/>
  <c r="E59" i="39"/>
  <c r="I58" i="39"/>
  <c r="I59" i="39"/>
  <c r="Q65" i="39"/>
  <c r="F66" i="39"/>
  <c r="F67" i="39"/>
  <c r="Q69" i="39"/>
  <c r="F70" i="39"/>
  <c r="F71" i="39"/>
  <c r="Q83" i="39"/>
  <c r="F84" i="39"/>
  <c r="F85" i="39"/>
  <c r="N16" i="39"/>
  <c r="N20" i="39"/>
  <c r="F50" i="39"/>
  <c r="F51" i="39"/>
  <c r="N58" i="39"/>
  <c r="F4" i="39"/>
  <c r="F5" i="39"/>
  <c r="N8" i="39"/>
  <c r="N12" i="39"/>
  <c r="R7" i="39"/>
  <c r="I340" i="1"/>
  <c r="F208" i="10"/>
  <c r="F207" i="10"/>
  <c r="F340" i="1"/>
  <c r="G207" i="10"/>
  <c r="G340" i="1"/>
  <c r="E207" i="10"/>
  <c r="E340" i="1"/>
  <c r="C340" i="1"/>
  <c r="B340" i="1"/>
  <c r="A340" i="1"/>
  <c r="I140" i="1"/>
  <c r="F140" i="1"/>
  <c r="G140" i="1"/>
  <c r="E140" i="1"/>
  <c r="C140" i="1"/>
  <c r="B140" i="1"/>
  <c r="A140" i="1"/>
  <c r="I89" i="1"/>
  <c r="F147" i="10"/>
  <c r="F146" i="10"/>
  <c r="F89" i="1"/>
  <c r="G146" i="10"/>
  <c r="G89" i="1"/>
  <c r="E146" i="10"/>
  <c r="E89" i="1"/>
  <c r="C89" i="1"/>
  <c r="B89" i="1"/>
  <c r="A89" i="1"/>
  <c r="I59" i="1"/>
  <c r="F134" i="10"/>
  <c r="F133" i="10"/>
  <c r="F59" i="1"/>
  <c r="G133" i="10"/>
  <c r="G59" i="1"/>
  <c r="E133" i="10"/>
  <c r="E59" i="1"/>
  <c r="C59" i="1"/>
  <c r="B59" i="1"/>
  <c r="A59" i="1"/>
  <c r="G73" i="10"/>
  <c r="G110" i="1"/>
  <c r="F74" i="10"/>
  <c r="F73" i="10"/>
  <c r="F110" i="1"/>
  <c r="E73" i="10"/>
  <c r="E110" i="1"/>
  <c r="G109" i="1"/>
  <c r="F109" i="1"/>
  <c r="E109" i="1"/>
  <c r="C110" i="1"/>
  <c r="C109" i="1"/>
  <c r="I217" i="1"/>
  <c r="I62" i="1"/>
  <c r="I48" i="1"/>
  <c r="G302" i="1"/>
  <c r="F302" i="1"/>
  <c r="E302" i="1"/>
  <c r="C302" i="1"/>
  <c r="G294" i="1"/>
  <c r="F294" i="1"/>
  <c r="E294" i="1"/>
  <c r="C294" i="1"/>
  <c r="C217" i="1"/>
  <c r="B217" i="1"/>
  <c r="A217" i="1"/>
  <c r="C77" i="1"/>
  <c r="B77" i="1"/>
  <c r="A77" i="1"/>
  <c r="C62" i="1"/>
  <c r="B62" i="1"/>
  <c r="A62" i="1"/>
  <c r="C48" i="1"/>
  <c r="B48" i="1"/>
  <c r="A48" i="1"/>
  <c r="G192" i="10"/>
  <c r="G10" i="1"/>
  <c r="F193" i="10"/>
  <c r="F192" i="10"/>
  <c r="F10" i="1"/>
  <c r="E192" i="10"/>
  <c r="E10" i="1"/>
  <c r="C10" i="1"/>
  <c r="B10" i="1"/>
  <c r="A10" i="1"/>
  <c r="B44" i="1"/>
  <c r="I19" i="31"/>
  <c r="H19" i="31"/>
  <c r="G19" i="31"/>
  <c r="F19" i="31"/>
  <c r="E19" i="31"/>
  <c r="I17" i="13"/>
  <c r="H17" i="13"/>
  <c r="G17" i="13"/>
  <c r="F17" i="13"/>
  <c r="E17" i="13"/>
  <c r="D17" i="13"/>
  <c r="G11" i="33"/>
  <c r="F11" i="33"/>
  <c r="E11" i="33"/>
  <c r="G7" i="33"/>
  <c r="F7" i="33"/>
  <c r="E7" i="33"/>
  <c r="G3" i="33"/>
  <c r="F3" i="33"/>
  <c r="E3" i="33"/>
  <c r="F20" i="10"/>
  <c r="F58" i="10"/>
  <c r="F263" i="10"/>
  <c r="F32" i="10"/>
  <c r="F44" i="10"/>
  <c r="F65" i="10"/>
  <c r="F28" i="10"/>
  <c r="F40" i="10"/>
  <c r="F49" i="10"/>
  <c r="F87" i="10"/>
  <c r="F107" i="10"/>
  <c r="F272" i="10"/>
  <c r="F24" i="10"/>
  <c r="F16" i="10"/>
  <c r="F12" i="10"/>
  <c r="F8" i="10"/>
  <c r="F7" i="10"/>
  <c r="I6" i="2"/>
  <c r="I13" i="31"/>
  <c r="I12" i="31"/>
  <c r="I11" i="31"/>
  <c r="H6" i="2"/>
  <c r="H13" i="31"/>
  <c r="H12" i="31"/>
  <c r="H11" i="31"/>
  <c r="G6" i="2"/>
  <c r="G13" i="31"/>
  <c r="G12" i="31"/>
  <c r="G11" i="31"/>
  <c r="F6" i="2"/>
  <c r="F13" i="31"/>
  <c r="F12" i="31"/>
  <c r="F11" i="31"/>
  <c r="E6" i="2"/>
  <c r="E13" i="31"/>
  <c r="E12" i="31"/>
  <c r="E11" i="31"/>
  <c r="D6" i="2"/>
  <c r="D13" i="31"/>
  <c r="D12" i="31"/>
  <c r="D11" i="31"/>
  <c r="I55" i="31"/>
  <c r="H55" i="31"/>
  <c r="G55" i="31"/>
  <c r="F55" i="31"/>
  <c r="E55" i="31"/>
  <c r="D55" i="31"/>
  <c r="I51" i="31"/>
  <c r="H51" i="31"/>
  <c r="G51" i="31"/>
  <c r="F51" i="31"/>
  <c r="E51" i="31"/>
  <c r="D51" i="31"/>
  <c r="J47" i="31"/>
  <c r="I47" i="31"/>
  <c r="H47" i="31"/>
  <c r="G47" i="31"/>
  <c r="F47" i="31"/>
  <c r="E47" i="31"/>
  <c r="D47" i="31"/>
  <c r="I43" i="31"/>
  <c r="I44" i="31"/>
  <c r="H43" i="31"/>
  <c r="H44" i="31"/>
  <c r="G43" i="31"/>
  <c r="F43" i="31"/>
  <c r="F44" i="31"/>
  <c r="E43" i="31"/>
  <c r="E44" i="31"/>
  <c r="D43" i="31"/>
  <c r="D44" i="31"/>
  <c r="I39" i="31"/>
  <c r="H39" i="31"/>
  <c r="G39" i="31"/>
  <c r="F39" i="31"/>
  <c r="E39" i="31"/>
  <c r="D39" i="31"/>
  <c r="I35" i="31"/>
  <c r="H35" i="31"/>
  <c r="G35" i="31"/>
  <c r="F35" i="31"/>
  <c r="E35" i="31"/>
  <c r="D35" i="31"/>
  <c r="I31" i="31"/>
  <c r="H31" i="31"/>
  <c r="G31" i="31"/>
  <c r="F31" i="31"/>
  <c r="E31" i="31"/>
  <c r="D31" i="31"/>
  <c r="I27" i="31"/>
  <c r="H27" i="31"/>
  <c r="G27" i="31"/>
  <c r="F27" i="31"/>
  <c r="E27" i="31"/>
  <c r="D27" i="31"/>
  <c r="I23" i="31"/>
  <c r="H23" i="31"/>
  <c r="G23" i="31"/>
  <c r="F23" i="31"/>
  <c r="E23" i="31"/>
  <c r="D23" i="31"/>
  <c r="D19" i="31"/>
  <c r="I15" i="31"/>
  <c r="H15" i="31"/>
  <c r="G15" i="31"/>
  <c r="F15" i="31"/>
  <c r="E15" i="31"/>
  <c r="D15" i="31"/>
  <c r="I7" i="31"/>
  <c r="H7" i="31"/>
  <c r="G7" i="31"/>
  <c r="F7" i="31"/>
  <c r="E7" i="31"/>
  <c r="D7" i="31"/>
  <c r="G44" i="31"/>
  <c r="I3" i="2"/>
  <c r="H3" i="2"/>
  <c r="G3" i="2"/>
  <c r="F3" i="2"/>
  <c r="E3" i="2"/>
  <c r="D3" i="2"/>
  <c r="H4" i="36"/>
  <c r="G4" i="36"/>
  <c r="F4" i="36"/>
  <c r="E5" i="38"/>
  <c r="E3" i="38"/>
  <c r="G48" i="1"/>
  <c r="B46" i="1"/>
  <c r="B47" i="1"/>
  <c r="B82" i="1"/>
  <c r="B83" i="1"/>
  <c r="B84" i="1"/>
  <c r="B86" i="1"/>
  <c r="B81" i="1"/>
  <c r="B87" i="1"/>
  <c r="B88" i="1"/>
  <c r="B125" i="1"/>
  <c r="B45" i="1"/>
  <c r="B85" i="1"/>
  <c r="B9" i="1"/>
  <c r="G217" i="1"/>
  <c r="G77" i="1"/>
  <c r="G62" i="1"/>
  <c r="E10" i="37"/>
  <c r="E4" i="37"/>
  <c r="E7" i="37"/>
  <c r="I223" i="1"/>
  <c r="I351" i="1"/>
  <c r="I216" i="1"/>
  <c r="I215" i="1"/>
  <c r="I311" i="1"/>
  <c r="I92" i="1"/>
  <c r="I312" i="1"/>
  <c r="I29" i="1"/>
  <c r="I310" i="1"/>
  <c r="I101" i="1"/>
  <c r="I321" i="1"/>
  <c r="B134" i="1"/>
  <c r="I285" i="1"/>
  <c r="C285" i="1"/>
  <c r="B285" i="1"/>
  <c r="A285" i="1"/>
  <c r="B13" i="1"/>
  <c r="C351" i="1"/>
  <c r="C216" i="1"/>
  <c r="C215" i="1"/>
  <c r="C311" i="1"/>
  <c r="C92" i="1"/>
  <c r="C312" i="1"/>
  <c r="C29" i="1"/>
  <c r="C310" i="1"/>
  <c r="B351" i="1"/>
  <c r="B216" i="1"/>
  <c r="B215" i="1"/>
  <c r="B311" i="1"/>
  <c r="B92" i="1"/>
  <c r="B312" i="1"/>
  <c r="B29" i="1"/>
  <c r="B310" i="1"/>
  <c r="A351" i="1"/>
  <c r="A216" i="1"/>
  <c r="A215" i="1"/>
  <c r="A311" i="1"/>
  <c r="A92" i="1"/>
  <c r="A312" i="1"/>
  <c r="A29" i="1"/>
  <c r="A310" i="1"/>
  <c r="I286" i="1"/>
  <c r="C286" i="1"/>
  <c r="B286" i="1"/>
  <c r="B336" i="1"/>
  <c r="B60" i="1"/>
  <c r="B148" i="1"/>
  <c r="A286" i="1"/>
  <c r="C101" i="1"/>
  <c r="B101" i="1"/>
  <c r="A101" i="1"/>
  <c r="I333" i="1"/>
  <c r="C333" i="1"/>
  <c r="B333" i="1"/>
  <c r="A333" i="1"/>
  <c r="C321" i="1"/>
  <c r="B321" i="1"/>
  <c r="A321" i="1"/>
  <c r="C82" i="1"/>
  <c r="E8" i="14"/>
  <c r="E9" i="14"/>
  <c r="F8" i="14"/>
  <c r="F9" i="14"/>
  <c r="F4" i="14"/>
  <c r="F5" i="14"/>
  <c r="E4" i="14"/>
  <c r="E5" i="14"/>
  <c r="E5" i="25"/>
  <c r="H5" i="36"/>
  <c r="G285" i="1"/>
  <c r="G5" i="36"/>
  <c r="F5" i="36"/>
  <c r="E285" i="1"/>
  <c r="E4" i="10"/>
  <c r="G48" i="31"/>
  <c r="G49" i="31"/>
  <c r="I5" i="31"/>
  <c r="I4" i="31"/>
  <c r="I3" i="31"/>
  <c r="F5" i="31"/>
  <c r="F4" i="31"/>
  <c r="F3" i="31"/>
  <c r="Q5" i="31"/>
  <c r="O12" i="31"/>
  <c r="P11" i="31"/>
  <c r="R13" i="31"/>
  <c r="H5" i="31"/>
  <c r="H4" i="31"/>
  <c r="H3" i="31"/>
  <c r="G5" i="31"/>
  <c r="G4" i="31"/>
  <c r="G3" i="31"/>
  <c r="E5" i="31"/>
  <c r="E4" i="31"/>
  <c r="E3" i="31"/>
  <c r="D5" i="31"/>
  <c r="D4" i="31"/>
  <c r="D3" i="31"/>
  <c r="N3" i="36"/>
  <c r="M3" i="36"/>
  <c r="C223" i="1"/>
  <c r="B223" i="1"/>
  <c r="A223" i="1"/>
  <c r="I316" i="1"/>
  <c r="I242" i="1"/>
  <c r="I49" i="1"/>
  <c r="I52" i="1"/>
  <c r="I157" i="1"/>
  <c r="F242" i="1"/>
  <c r="E242" i="1"/>
  <c r="C242" i="1"/>
  <c r="F49" i="1"/>
  <c r="E49" i="1"/>
  <c r="C49" i="1"/>
  <c r="C52" i="1"/>
  <c r="E52" i="1"/>
  <c r="F52" i="1"/>
  <c r="C316" i="1"/>
  <c r="E316" i="1"/>
  <c r="F316" i="1"/>
  <c r="G316" i="1"/>
  <c r="B52" i="1"/>
  <c r="B49" i="1"/>
  <c r="B242" i="1"/>
  <c r="B316" i="1"/>
  <c r="A52" i="1"/>
  <c r="A49" i="1"/>
  <c r="A242" i="1"/>
  <c r="A316" i="1"/>
  <c r="G157" i="1"/>
  <c r="E157" i="1"/>
  <c r="C157" i="1"/>
  <c r="B157" i="1"/>
  <c r="A157" i="1"/>
  <c r="I134" i="1"/>
  <c r="I119" i="1"/>
  <c r="I254" i="1"/>
  <c r="I278" i="1"/>
  <c r="I277" i="1"/>
  <c r="I276" i="1"/>
  <c r="I124" i="1"/>
  <c r="I122" i="1"/>
  <c r="I132" i="1"/>
  <c r="I30" i="1"/>
  <c r="I320" i="1"/>
  <c r="I13" i="1"/>
  <c r="I76" i="1"/>
  <c r="I75" i="1"/>
  <c r="I74" i="1"/>
  <c r="I73" i="1"/>
  <c r="I70" i="1"/>
  <c r="I24" i="1"/>
  <c r="I108" i="1"/>
  <c r="I28" i="1"/>
  <c r="I27" i="1"/>
  <c r="I20" i="1"/>
  <c r="I26" i="1"/>
  <c r="I25" i="1"/>
  <c r="I23" i="1"/>
  <c r="I22" i="1"/>
  <c r="I21" i="1"/>
  <c r="I19" i="1"/>
  <c r="I17" i="1"/>
  <c r="I120" i="1"/>
  <c r="I136" i="1"/>
  <c r="I249" i="1"/>
  <c r="I243" i="1"/>
  <c r="I293" i="1"/>
  <c r="I195" i="1"/>
  <c r="I189" i="1"/>
  <c r="I165" i="1"/>
  <c r="I153" i="1"/>
  <c r="I148" i="1"/>
  <c r="I60" i="1"/>
  <c r="I336" i="1"/>
  <c r="I284" i="1"/>
  <c r="I222" i="1"/>
  <c r="I185" i="1"/>
  <c r="I172" i="1"/>
  <c r="I100" i="1"/>
  <c r="I99" i="1"/>
  <c r="I346" i="1"/>
  <c r="I339" i="1"/>
  <c r="I337" i="1"/>
  <c r="I323" i="1"/>
  <c r="I184" i="1"/>
  <c r="I164" i="1"/>
  <c r="I154" i="1"/>
  <c r="I107" i="1"/>
  <c r="I54" i="1"/>
  <c r="I44" i="1"/>
  <c r="I43" i="1"/>
  <c r="I39" i="1"/>
  <c r="I36" i="1"/>
  <c r="I345" i="1"/>
  <c r="I341" i="1"/>
  <c r="I338" i="1"/>
  <c r="I289" i="1"/>
  <c r="I275" i="1"/>
  <c r="I240" i="1"/>
  <c r="I235" i="1"/>
  <c r="I234" i="1"/>
  <c r="I194" i="1"/>
  <c r="I163" i="1"/>
  <c r="I155" i="1"/>
  <c r="I149" i="1"/>
  <c r="I138" i="1"/>
  <c r="I137" i="1"/>
  <c r="I117" i="1"/>
  <c r="I115" i="1"/>
  <c r="I111" i="1"/>
  <c r="I102" i="1"/>
  <c r="I94" i="1"/>
  <c r="I42" i="1"/>
  <c r="I37" i="1"/>
  <c r="I33" i="1"/>
  <c r="I14" i="1"/>
  <c r="I298" i="1"/>
  <c r="I297" i="1"/>
  <c r="I264" i="1"/>
  <c r="I236" i="1"/>
  <c r="I232" i="1"/>
  <c r="I226" i="1"/>
  <c r="I193" i="1"/>
  <c r="I188" i="1"/>
  <c r="I171" i="1"/>
  <c r="I350" i="1"/>
  <c r="I343" i="1"/>
  <c r="I334" i="1"/>
  <c r="I290" i="1"/>
  <c r="I267" i="1"/>
  <c r="I228" i="1"/>
  <c r="I183" i="1"/>
  <c r="I180" i="1"/>
  <c r="I176" i="1"/>
  <c r="I105" i="1"/>
  <c r="I90" i="1"/>
  <c r="I7" i="1"/>
  <c r="I348" i="1"/>
  <c r="I307" i="1"/>
  <c r="I308" i="1"/>
  <c r="I306" i="1"/>
  <c r="I305" i="1"/>
  <c r="I303" i="1"/>
  <c r="I300" i="1"/>
  <c r="I287" i="1"/>
  <c r="I269" i="1"/>
  <c r="I241" i="1"/>
  <c r="I221" i="1"/>
  <c r="I213" i="1"/>
  <c r="I169" i="1"/>
  <c r="I162" i="1"/>
  <c r="I156" i="1"/>
  <c r="I152" i="1"/>
  <c r="I106" i="1"/>
  <c r="I53" i="1"/>
  <c r="I51" i="1"/>
  <c r="I10" i="1"/>
  <c r="I331" i="1"/>
  <c r="I295" i="1"/>
  <c r="I261" i="1"/>
  <c r="I238" i="1"/>
  <c r="I237" i="1"/>
  <c r="I192" i="1"/>
  <c r="I179" i="1"/>
  <c r="I142" i="1"/>
  <c r="I141" i="1"/>
  <c r="I139" i="1"/>
  <c r="I135" i="1"/>
  <c r="I116" i="1"/>
  <c r="I104" i="1"/>
  <c r="I97" i="1"/>
  <c r="I96" i="1"/>
  <c r="I79" i="1"/>
  <c r="I69" i="1"/>
  <c r="I57" i="1"/>
  <c r="I41" i="1"/>
  <c r="I32" i="1"/>
  <c r="I347" i="1"/>
  <c r="I344" i="1"/>
  <c r="I327" i="1"/>
  <c r="I326" i="1"/>
  <c r="I198" i="1"/>
  <c r="I175" i="1"/>
  <c r="I150" i="1"/>
  <c r="I114" i="1"/>
  <c r="I113" i="1"/>
  <c r="I332" i="1"/>
  <c r="I302" i="1"/>
  <c r="I301" i="1"/>
  <c r="I299" i="1"/>
  <c r="I296" i="1"/>
  <c r="I294" i="1"/>
  <c r="I288" i="1"/>
  <c r="I283" i="1"/>
  <c r="I268" i="1"/>
  <c r="I263" i="1"/>
  <c r="I227" i="1"/>
  <c r="I187" i="1"/>
  <c r="I170" i="1"/>
  <c r="I168" i="1"/>
  <c r="I161" i="1"/>
  <c r="I151" i="1"/>
  <c r="I143" i="1"/>
  <c r="I112" i="1"/>
  <c r="I71" i="1"/>
  <c r="I61" i="1"/>
  <c r="I56" i="1"/>
  <c r="I55" i="1"/>
  <c r="I50" i="1"/>
  <c r="I38" i="1"/>
  <c r="I16" i="1"/>
  <c r="I15" i="1"/>
  <c r="I5" i="1"/>
  <c r="I349" i="1"/>
  <c r="I330" i="1"/>
  <c r="I325" i="1"/>
  <c r="I281" i="1"/>
  <c r="I274" i="1"/>
  <c r="I270" i="1"/>
  <c r="I231" i="1"/>
  <c r="I205" i="1"/>
  <c r="I197" i="1"/>
  <c r="I191" i="1"/>
  <c r="I182" i="1"/>
  <c r="I174" i="1"/>
  <c r="I144" i="1"/>
  <c r="I126" i="1"/>
  <c r="I93" i="1"/>
  <c r="I91" i="1"/>
  <c r="I78" i="1"/>
  <c r="I8" i="1"/>
  <c r="I271" i="1"/>
  <c r="I265" i="1"/>
  <c r="I229" i="1"/>
  <c r="I186" i="1"/>
  <c r="I178" i="1"/>
  <c r="I146" i="1"/>
  <c r="I145" i="1"/>
  <c r="I118" i="1"/>
  <c r="I58" i="1"/>
  <c r="I35" i="1"/>
  <c r="I324" i="1"/>
  <c r="I266" i="1"/>
  <c r="I110" i="1"/>
  <c r="I109" i="1"/>
  <c r="I103" i="1"/>
  <c r="I95" i="1"/>
  <c r="I68" i="1"/>
  <c r="I40" i="1"/>
  <c r="I12" i="1"/>
  <c r="I11" i="1"/>
  <c r="I292" i="1"/>
  <c r="I279" i="1"/>
  <c r="I272" i="1"/>
  <c r="I196" i="1"/>
  <c r="I173" i="1"/>
  <c r="I167" i="1"/>
  <c r="I309" i="1"/>
  <c r="I239" i="1"/>
  <c r="I204" i="1"/>
  <c r="I177" i="1"/>
  <c r="I147" i="1"/>
  <c r="I34" i="1"/>
  <c r="I6" i="1"/>
  <c r="I2" i="1"/>
  <c r="I329" i="1"/>
  <c r="I291" i="1"/>
  <c r="I273" i="1"/>
  <c r="I181" i="1"/>
  <c r="I322" i="1"/>
  <c r="I319" i="1"/>
  <c r="I304" i="1"/>
  <c r="I282" i="1"/>
  <c r="I214" i="1"/>
  <c r="I166" i="1"/>
  <c r="I67" i="1"/>
  <c r="I4" i="1"/>
  <c r="I98" i="1"/>
  <c r="I3" i="1"/>
  <c r="I224" i="1"/>
  <c r="I280" i="1"/>
  <c r="I318" i="1"/>
  <c r="I230" i="1"/>
  <c r="I225" i="1"/>
  <c r="I317" i="1"/>
  <c r="I66" i="1"/>
  <c r="I211" i="1"/>
  <c r="I208" i="1"/>
  <c r="I64" i="1"/>
  <c r="I203" i="1"/>
  <c r="I219" i="1"/>
  <c r="I328" i="1"/>
  <c r="I160" i="1"/>
  <c r="I314" i="1"/>
  <c r="I159" i="1"/>
  <c r="I199" i="1"/>
  <c r="I63" i="1"/>
  <c r="I315" i="1"/>
  <c r="I218" i="1"/>
  <c r="I202" i="1"/>
  <c r="I313" i="1"/>
  <c r="I220" i="1"/>
  <c r="I212" i="1"/>
  <c r="I31" i="1"/>
  <c r="I65" i="1"/>
  <c r="I210" i="1"/>
  <c r="I209" i="1"/>
  <c r="I207" i="1"/>
  <c r="I206" i="1"/>
  <c r="I72" i="1"/>
  <c r="I125" i="1"/>
  <c r="I88" i="1"/>
  <c r="I87" i="1"/>
  <c r="I81" i="1"/>
  <c r="I86" i="1"/>
  <c r="I84" i="1"/>
  <c r="I83" i="1"/>
  <c r="I47" i="1"/>
  <c r="I46" i="1"/>
  <c r="I45" i="1"/>
  <c r="I85" i="1"/>
  <c r="I82" i="1"/>
  <c r="I9" i="1"/>
  <c r="G199" i="1"/>
  <c r="C199" i="1"/>
  <c r="B64" i="1"/>
  <c r="B328" i="1"/>
  <c r="B63" i="1"/>
  <c r="B199" i="1"/>
  <c r="E328" i="1"/>
  <c r="G328" i="1"/>
  <c r="F328" i="1"/>
  <c r="G63" i="1"/>
  <c r="E64" i="1"/>
  <c r="G64" i="1"/>
  <c r="C328" i="1"/>
  <c r="C63" i="1"/>
  <c r="C64" i="1"/>
  <c r="E203" i="1"/>
  <c r="G203" i="1"/>
  <c r="F203" i="1"/>
  <c r="C203" i="1"/>
  <c r="A63" i="1"/>
  <c r="A199" i="1"/>
  <c r="A64" i="1"/>
  <c r="G160" i="1"/>
  <c r="E160" i="1"/>
  <c r="C160" i="1"/>
  <c r="B160" i="1"/>
  <c r="B203" i="1"/>
  <c r="A160" i="1"/>
  <c r="A203" i="1"/>
  <c r="A328" i="1"/>
  <c r="E218" i="1"/>
  <c r="C218" i="1"/>
  <c r="E315" i="1"/>
  <c r="C315" i="1"/>
  <c r="G159" i="1"/>
  <c r="E159" i="1"/>
  <c r="C159" i="1"/>
  <c r="C313" i="1"/>
  <c r="E313" i="1"/>
  <c r="E220" i="1"/>
  <c r="G220" i="1"/>
  <c r="F220" i="1"/>
  <c r="E314" i="1"/>
  <c r="G314" i="1"/>
  <c r="F314" i="1"/>
  <c r="E202" i="1"/>
  <c r="G202" i="1"/>
  <c r="F202" i="1"/>
  <c r="C220" i="1"/>
  <c r="C314" i="1"/>
  <c r="C202" i="1"/>
  <c r="A315" i="1"/>
  <c r="A218" i="1"/>
  <c r="B218" i="1"/>
  <c r="B220" i="1"/>
  <c r="B313" i="1"/>
  <c r="B314" i="1"/>
  <c r="B159" i="1"/>
  <c r="B202" i="1"/>
  <c r="B315" i="1"/>
  <c r="A314" i="1"/>
  <c r="A159" i="1"/>
  <c r="A202" i="1"/>
  <c r="A220" i="1"/>
  <c r="A313" i="1"/>
  <c r="E212" i="1"/>
  <c r="C212" i="1"/>
  <c r="G66" i="1"/>
  <c r="G31" i="1"/>
  <c r="E31" i="1"/>
  <c r="F31" i="1"/>
  <c r="G219" i="1"/>
  <c r="E65" i="1"/>
  <c r="G65" i="1"/>
  <c r="F65" i="1"/>
  <c r="E66" i="1"/>
  <c r="E219" i="1"/>
  <c r="C65" i="1"/>
  <c r="C211" i="1"/>
  <c r="C66" i="1"/>
  <c r="C31" i="1"/>
  <c r="C219" i="1"/>
  <c r="C208" i="1"/>
  <c r="B65" i="1"/>
  <c r="B211" i="1"/>
  <c r="B66" i="1"/>
  <c r="B31" i="1"/>
  <c r="B212" i="1"/>
  <c r="B219" i="1"/>
  <c r="B208" i="1"/>
  <c r="A211" i="1"/>
  <c r="A66" i="1"/>
  <c r="A31" i="1"/>
  <c r="A212" i="1"/>
  <c r="A219" i="1"/>
  <c r="A65" i="1"/>
  <c r="A208" i="1"/>
  <c r="C336" i="1"/>
  <c r="A336" i="1"/>
  <c r="C36" i="1"/>
  <c r="B36" i="1"/>
  <c r="A36" i="1"/>
  <c r="C236" i="1"/>
  <c r="B236" i="1"/>
  <c r="A236" i="1"/>
  <c r="C90" i="1"/>
  <c r="B90" i="1"/>
  <c r="A90" i="1"/>
  <c r="C53" i="1"/>
  <c r="B53" i="1"/>
  <c r="A53" i="1"/>
  <c r="C79" i="1"/>
  <c r="B79" i="1"/>
  <c r="A79" i="1"/>
  <c r="A41" i="1"/>
  <c r="B41" i="1"/>
  <c r="A57" i="1"/>
  <c r="B57" i="1"/>
  <c r="A69" i="1"/>
  <c r="B69" i="1"/>
  <c r="B96" i="1"/>
  <c r="B97" i="1"/>
  <c r="B104" i="1"/>
  <c r="B116" i="1"/>
  <c r="B139" i="1"/>
  <c r="B141" i="1"/>
  <c r="B142" i="1"/>
  <c r="B179" i="1"/>
  <c r="B192" i="1"/>
  <c r="B237" i="1"/>
  <c r="C2" i="1"/>
  <c r="B2" i="1"/>
  <c r="A6" i="1"/>
  <c r="A34" i="1"/>
  <c r="A147" i="1"/>
  <c r="A2" i="1"/>
  <c r="A25" i="1"/>
  <c r="B25" i="1"/>
  <c r="E4" i="16"/>
  <c r="F4" i="16"/>
  <c r="F5" i="16"/>
  <c r="G4" i="16"/>
  <c r="Q3" i="16"/>
  <c r="H4" i="16"/>
  <c r="I4" i="16"/>
  <c r="I5" i="16"/>
  <c r="D4" i="16"/>
  <c r="L12" i="33"/>
  <c r="G12" i="33"/>
  <c r="G13" i="33"/>
  <c r="F12" i="33"/>
  <c r="F13" i="33"/>
  <c r="E12" i="33"/>
  <c r="E13" i="33"/>
  <c r="M9" i="33"/>
  <c r="L9" i="33"/>
  <c r="L8" i="33"/>
  <c r="F8" i="33"/>
  <c r="F9" i="33"/>
  <c r="E8" i="33"/>
  <c r="E9" i="33"/>
  <c r="M5" i="33"/>
  <c r="L5" i="33"/>
  <c r="G4" i="33"/>
  <c r="G5" i="33"/>
  <c r="E4" i="33"/>
  <c r="E5" i="33"/>
  <c r="L4" i="33"/>
  <c r="S43" i="31"/>
  <c r="R43" i="31"/>
  <c r="Q43" i="31"/>
  <c r="O43" i="31"/>
  <c r="S41" i="31"/>
  <c r="Q41" i="31"/>
  <c r="O41" i="31"/>
  <c r="O40" i="31"/>
  <c r="T39" i="31"/>
  <c r="S39" i="31"/>
  <c r="P39" i="31"/>
  <c r="O39" i="31"/>
  <c r="S37" i="31"/>
  <c r="R37" i="31"/>
  <c r="Q37" i="31"/>
  <c r="O37" i="31"/>
  <c r="O36" i="31"/>
  <c r="R35" i="31"/>
  <c r="Q35" i="31"/>
  <c r="P35" i="31"/>
  <c r="S33" i="31"/>
  <c r="R33" i="31"/>
  <c r="Q33" i="31"/>
  <c r="O33" i="31"/>
  <c r="O32" i="31"/>
  <c r="S31" i="31"/>
  <c r="P31" i="31"/>
  <c r="O31" i="31"/>
  <c r="S29" i="31"/>
  <c r="R29" i="31"/>
  <c r="Q29" i="31"/>
  <c r="O29" i="31"/>
  <c r="O28" i="31"/>
  <c r="R27" i="31"/>
  <c r="Q27" i="31"/>
  <c r="P27" i="31"/>
  <c r="S25" i="31"/>
  <c r="R25" i="31"/>
  <c r="Q25" i="31"/>
  <c r="O25" i="31"/>
  <c r="O24" i="31"/>
  <c r="S23" i="31"/>
  <c r="P23" i="31"/>
  <c r="O23" i="31"/>
  <c r="S21" i="31"/>
  <c r="R21" i="31"/>
  <c r="Q21" i="31"/>
  <c r="O21" i="31"/>
  <c r="O20" i="31"/>
  <c r="R19" i="31"/>
  <c r="Q19" i="31"/>
  <c r="P19" i="31"/>
  <c r="S17" i="31"/>
  <c r="R17" i="31"/>
  <c r="Q17" i="31"/>
  <c r="O17" i="31"/>
  <c r="O16" i="31"/>
  <c r="S15" i="31"/>
  <c r="P15" i="31"/>
  <c r="O15" i="31"/>
  <c r="O8" i="31"/>
  <c r="R7" i="31"/>
  <c r="Q7" i="31"/>
  <c r="P7" i="31"/>
  <c r="R5" i="31"/>
  <c r="G56" i="31"/>
  <c r="G57" i="31"/>
  <c r="F56" i="31"/>
  <c r="F57" i="31"/>
  <c r="I56" i="31"/>
  <c r="I57" i="31"/>
  <c r="H56" i="31"/>
  <c r="H57" i="31"/>
  <c r="E56" i="31"/>
  <c r="E57" i="31"/>
  <c r="D56" i="31"/>
  <c r="D57" i="31"/>
  <c r="I52" i="31"/>
  <c r="I53" i="31"/>
  <c r="H52" i="31"/>
  <c r="H53" i="31"/>
  <c r="E52" i="31"/>
  <c r="E53" i="31"/>
  <c r="D52" i="31"/>
  <c r="D53" i="31"/>
  <c r="G52" i="31"/>
  <c r="G53" i="31"/>
  <c r="F52" i="31"/>
  <c r="F53" i="31"/>
  <c r="J48" i="31"/>
  <c r="J49" i="31"/>
  <c r="I48" i="31"/>
  <c r="I49" i="31"/>
  <c r="H48" i="31"/>
  <c r="H49" i="31"/>
  <c r="F48" i="31"/>
  <c r="F49" i="31"/>
  <c r="E48" i="31"/>
  <c r="E49" i="31"/>
  <c r="D48" i="31"/>
  <c r="D49" i="31"/>
  <c r="H45" i="31"/>
  <c r="G45" i="31"/>
  <c r="D45" i="31"/>
  <c r="F45" i="31"/>
  <c r="I40" i="31"/>
  <c r="I41" i="31"/>
  <c r="F40" i="31"/>
  <c r="F41" i="31"/>
  <c r="E40" i="31"/>
  <c r="E41" i="31"/>
  <c r="H40" i="31"/>
  <c r="H41" i="31"/>
  <c r="G40" i="31"/>
  <c r="G41" i="31"/>
  <c r="D40" i="31"/>
  <c r="D41" i="31"/>
  <c r="H36" i="31"/>
  <c r="H37" i="31"/>
  <c r="G36" i="31"/>
  <c r="G37" i="31"/>
  <c r="D36" i="31"/>
  <c r="D37" i="31"/>
  <c r="F36" i="31"/>
  <c r="F37" i="31"/>
  <c r="E36" i="31"/>
  <c r="E37" i="31"/>
  <c r="I32" i="31"/>
  <c r="I33" i="31"/>
  <c r="F32" i="31"/>
  <c r="F33" i="31"/>
  <c r="E32" i="31"/>
  <c r="E33" i="31"/>
  <c r="H32" i="31"/>
  <c r="H33" i="31"/>
  <c r="G32" i="31"/>
  <c r="G33" i="31"/>
  <c r="D32" i="31"/>
  <c r="D33" i="31"/>
  <c r="H28" i="31"/>
  <c r="H29" i="31"/>
  <c r="G28" i="31"/>
  <c r="G29" i="31"/>
  <c r="D28" i="31"/>
  <c r="D29" i="31"/>
  <c r="I28" i="31"/>
  <c r="I29" i="31"/>
  <c r="F28" i="31"/>
  <c r="F29" i="31"/>
  <c r="E28" i="31"/>
  <c r="E29" i="31"/>
  <c r="I24" i="31"/>
  <c r="I25" i="31"/>
  <c r="F24" i="31"/>
  <c r="F25" i="31"/>
  <c r="E24" i="31"/>
  <c r="E25" i="31"/>
  <c r="H24" i="31"/>
  <c r="H25" i="31"/>
  <c r="G24" i="31"/>
  <c r="G25" i="31"/>
  <c r="D24" i="31"/>
  <c r="D25" i="31"/>
  <c r="H20" i="31"/>
  <c r="H21" i="31"/>
  <c r="G20" i="31"/>
  <c r="G21" i="31"/>
  <c r="D20" i="31"/>
  <c r="D21" i="31"/>
  <c r="I20" i="31"/>
  <c r="I21" i="31"/>
  <c r="F20" i="31"/>
  <c r="F21" i="31"/>
  <c r="E20" i="31"/>
  <c r="E21" i="31"/>
  <c r="E16" i="31"/>
  <c r="E17" i="31"/>
  <c r="H16" i="31"/>
  <c r="H17" i="31"/>
  <c r="I8" i="31"/>
  <c r="I9" i="31"/>
  <c r="F8" i="31"/>
  <c r="F9" i="31"/>
  <c r="E8" i="31"/>
  <c r="E9" i="31"/>
  <c r="I16" i="31"/>
  <c r="I17" i="31"/>
  <c r="H8" i="31"/>
  <c r="H9" i="31"/>
  <c r="G8" i="31"/>
  <c r="G9" i="31"/>
  <c r="F16" i="31"/>
  <c r="F17" i="31"/>
  <c r="D8" i="31"/>
  <c r="D9" i="31"/>
  <c r="D16" i="31"/>
  <c r="D17" i="31"/>
  <c r="G16" i="31"/>
  <c r="G17" i="31"/>
  <c r="H25" i="13"/>
  <c r="H24" i="13"/>
  <c r="H23" i="13"/>
  <c r="H21" i="13"/>
  <c r="H20" i="13"/>
  <c r="H19" i="13"/>
  <c r="I13" i="13"/>
  <c r="I12" i="13"/>
  <c r="I11" i="13"/>
  <c r="G25" i="13"/>
  <c r="G24" i="13"/>
  <c r="G23" i="13"/>
  <c r="F16" i="13"/>
  <c r="F15" i="13"/>
  <c r="E13" i="13"/>
  <c r="E12" i="13"/>
  <c r="E11" i="13"/>
  <c r="G16" i="13"/>
  <c r="G15" i="13"/>
  <c r="G13" i="13"/>
  <c r="G12" i="13"/>
  <c r="G11" i="13"/>
  <c r="F13" i="13"/>
  <c r="F12" i="13"/>
  <c r="F11" i="13"/>
  <c r="I9" i="13"/>
  <c r="I8" i="13"/>
  <c r="I7" i="13"/>
  <c r="H9" i="13"/>
  <c r="H8" i="13"/>
  <c r="H7" i="13"/>
  <c r="G9" i="13"/>
  <c r="G8" i="13"/>
  <c r="G7" i="13"/>
  <c r="F9" i="13"/>
  <c r="F8" i="13"/>
  <c r="F7" i="13"/>
  <c r="E9" i="13"/>
  <c r="E8" i="13"/>
  <c r="E7" i="13"/>
  <c r="D9" i="13"/>
  <c r="D8" i="13"/>
  <c r="D7" i="13"/>
  <c r="G5" i="13"/>
  <c r="G4" i="13"/>
  <c r="G3" i="13"/>
  <c r="F5" i="13"/>
  <c r="F4" i="13"/>
  <c r="F3" i="13"/>
  <c r="P13" i="13"/>
  <c r="D13" i="13"/>
  <c r="D12" i="13"/>
  <c r="D11" i="13"/>
  <c r="D5" i="13"/>
  <c r="D4" i="13"/>
  <c r="D3" i="13"/>
  <c r="E310" i="1"/>
  <c r="D16" i="13"/>
  <c r="D15" i="13"/>
  <c r="H13" i="13"/>
  <c r="H12" i="13"/>
  <c r="H11" i="13"/>
  <c r="H16" i="13"/>
  <c r="H15" i="13"/>
  <c r="R13" i="13"/>
  <c r="H5" i="13"/>
  <c r="H4" i="13"/>
  <c r="H3" i="13"/>
  <c r="I21" i="13"/>
  <c r="I20" i="13"/>
  <c r="I19" i="13"/>
  <c r="I25" i="13"/>
  <c r="I24" i="13"/>
  <c r="I23" i="13"/>
  <c r="R23" i="13"/>
  <c r="E16" i="13"/>
  <c r="E15" i="13"/>
  <c r="I16" i="13"/>
  <c r="I15" i="13"/>
  <c r="F21" i="13"/>
  <c r="F20" i="13"/>
  <c r="F19" i="13"/>
  <c r="F25" i="13"/>
  <c r="F24" i="13"/>
  <c r="F23" i="13"/>
  <c r="P23" i="13"/>
  <c r="E5" i="13"/>
  <c r="E4" i="13"/>
  <c r="E3" i="13"/>
  <c r="I5" i="13"/>
  <c r="I4" i="13"/>
  <c r="I3" i="13"/>
  <c r="G21" i="13"/>
  <c r="G20" i="13"/>
  <c r="G19" i="13"/>
  <c r="A44" i="1"/>
  <c r="C21" i="1"/>
  <c r="B21" i="1"/>
  <c r="A21" i="1"/>
  <c r="C234" i="1"/>
  <c r="B234" i="1"/>
  <c r="A234" i="1"/>
  <c r="C132" i="1"/>
  <c r="C124" i="1"/>
  <c r="C122" i="1"/>
  <c r="C30" i="1"/>
  <c r="C214" i="1"/>
  <c r="B214" i="1"/>
  <c r="A214" i="1"/>
  <c r="C341" i="1"/>
  <c r="B341" i="1"/>
  <c r="A341" i="1"/>
  <c r="B26" i="1"/>
  <c r="C295" i="1"/>
  <c r="B295" i="1"/>
  <c r="A295" i="1"/>
  <c r="C338" i="1"/>
  <c r="B338" i="1"/>
  <c r="A338" i="1"/>
  <c r="C139" i="1"/>
  <c r="A139" i="1"/>
  <c r="C308" i="1"/>
  <c r="B308" i="1"/>
  <c r="A308" i="1"/>
  <c r="C17" i="1"/>
  <c r="B17" i="1"/>
  <c r="A17" i="1"/>
  <c r="C284" i="1"/>
  <c r="C34" i="1"/>
  <c r="B34" i="1"/>
  <c r="G16" i="20"/>
  <c r="G74" i="1"/>
  <c r="G3" i="20"/>
  <c r="G21" i="1"/>
  <c r="G25" i="1"/>
  <c r="F5" i="20"/>
  <c r="G273" i="10"/>
  <c r="E271" i="10"/>
  <c r="E293" i="1"/>
  <c r="G264" i="10"/>
  <c r="E262" i="10"/>
  <c r="E286" i="1"/>
  <c r="F54" i="1"/>
  <c r="E250" i="10"/>
  <c r="F221" i="10"/>
  <c r="G209" i="10"/>
  <c r="F209" i="10"/>
  <c r="E193" i="1"/>
  <c r="E194" i="10"/>
  <c r="F171" i="10"/>
  <c r="E169" i="1"/>
  <c r="F148" i="10"/>
  <c r="E79" i="1"/>
  <c r="G135" i="10"/>
  <c r="E135" i="10"/>
  <c r="G106" i="10"/>
  <c r="G61" i="1"/>
  <c r="F106" i="10"/>
  <c r="F227" i="1"/>
  <c r="G88" i="10"/>
  <c r="E86" i="10"/>
  <c r="E91" i="1"/>
  <c r="F75" i="10"/>
  <c r="G66" i="10"/>
  <c r="E64" i="10"/>
  <c r="F59" i="10"/>
  <c r="E57" i="10"/>
  <c r="E279" i="1"/>
  <c r="G50" i="10"/>
  <c r="E48" i="10"/>
  <c r="E239" i="1"/>
  <c r="F41" i="10"/>
  <c r="E39" i="10"/>
  <c r="E322" i="1"/>
  <c r="G33" i="10"/>
  <c r="F33" i="10"/>
  <c r="E33" i="10"/>
  <c r="G29" i="10"/>
  <c r="F29" i="10"/>
  <c r="E29" i="10"/>
  <c r="G23" i="10"/>
  <c r="F25" i="10"/>
  <c r="G19" i="10"/>
  <c r="G15" i="10"/>
  <c r="G318" i="1"/>
  <c r="E318" i="1"/>
  <c r="F318" i="1"/>
  <c r="F17" i="10"/>
  <c r="E15" i="10"/>
  <c r="F11" i="10"/>
  <c r="G11" i="10"/>
  <c r="G230" i="1"/>
  <c r="G7" i="10"/>
  <c r="G225" i="1"/>
  <c r="F9" i="10"/>
  <c r="E9" i="10"/>
  <c r="G3" i="10"/>
  <c r="G321" i="1"/>
  <c r="E136" i="1"/>
  <c r="E243" i="1"/>
  <c r="C47" i="1"/>
  <c r="C84" i="1"/>
  <c r="G5" i="29"/>
  <c r="E5" i="29"/>
  <c r="G3" i="29"/>
  <c r="G134" i="1"/>
  <c r="E3" i="29"/>
  <c r="F5" i="29"/>
  <c r="E7" i="25"/>
  <c r="F277" i="1"/>
  <c r="G210" i="1"/>
  <c r="E210" i="1"/>
  <c r="F210" i="1"/>
  <c r="G276" i="1"/>
  <c r="E278" i="1"/>
  <c r="G209" i="1"/>
  <c r="E209" i="1"/>
  <c r="F209" i="1"/>
  <c r="G207" i="1"/>
  <c r="E207" i="1"/>
  <c r="F207" i="1"/>
  <c r="G206" i="1"/>
  <c r="E206" i="1"/>
  <c r="C105" i="1"/>
  <c r="B105" i="1"/>
  <c r="A105" i="1"/>
  <c r="C104" i="1"/>
  <c r="A104" i="1"/>
  <c r="C149" i="1"/>
  <c r="B149" i="1"/>
  <c r="A149" i="1"/>
  <c r="C19" i="1"/>
  <c r="B19" i="1"/>
  <c r="A19" i="1"/>
  <c r="C148" i="1"/>
  <c r="A148" i="1"/>
  <c r="B163" i="1"/>
  <c r="B334" i="1"/>
  <c r="B289" i="1"/>
  <c r="A289" i="1"/>
  <c r="A39" i="1"/>
  <c r="C347" i="1"/>
  <c r="C275" i="1"/>
  <c r="B275" i="1"/>
  <c r="A275" i="1"/>
  <c r="C94" i="1"/>
  <c r="B94" i="1"/>
  <c r="A94" i="1"/>
  <c r="C228" i="1"/>
  <c r="B228" i="1"/>
  <c r="A228" i="1"/>
  <c r="A134" i="1"/>
  <c r="C134" i="1"/>
  <c r="C108" i="1"/>
  <c r="B108" i="1"/>
  <c r="A108" i="1"/>
  <c r="E31" i="10"/>
  <c r="E67" i="1"/>
  <c r="G67" i="1"/>
  <c r="F67" i="1"/>
  <c r="E296" i="10"/>
  <c r="E295" i="10"/>
  <c r="E292" i="10"/>
  <c r="E293" i="10"/>
  <c r="E288" i="10"/>
  <c r="E287" i="10"/>
  <c r="G296" i="10"/>
  <c r="G295" i="10"/>
  <c r="G292" i="10"/>
  <c r="G291" i="10"/>
  <c r="G288" i="10"/>
  <c r="G287" i="10"/>
  <c r="G284" i="10"/>
  <c r="G285" i="10"/>
  <c r="E284" i="10"/>
  <c r="E283" i="10"/>
  <c r="C213" i="1"/>
  <c r="C95" i="1"/>
  <c r="B95" i="1"/>
  <c r="A95" i="1"/>
  <c r="C155" i="1"/>
  <c r="B155" i="1"/>
  <c r="A155" i="1"/>
  <c r="C83" i="1"/>
  <c r="C87" i="1"/>
  <c r="C88" i="1"/>
  <c r="C125" i="1"/>
  <c r="C45" i="1"/>
  <c r="C72" i="1"/>
  <c r="C86" i="1"/>
  <c r="C46" i="1"/>
  <c r="C81" i="1"/>
  <c r="A82" i="1"/>
  <c r="C238" i="1"/>
  <c r="B238" i="1"/>
  <c r="A238" i="1"/>
  <c r="B261" i="1"/>
  <c r="A261" i="1"/>
  <c r="F119" i="1"/>
  <c r="E119" i="1"/>
  <c r="C119" i="1"/>
  <c r="B119" i="1"/>
  <c r="A119" i="1"/>
  <c r="G86" i="10"/>
  <c r="G91" i="1"/>
  <c r="C205" i="1"/>
  <c r="B205" i="1"/>
  <c r="A205" i="1"/>
  <c r="C323" i="1"/>
  <c r="G176" i="1"/>
  <c r="C267" i="1"/>
  <c r="C325" i="1"/>
  <c r="C324" i="1"/>
  <c r="C322" i="1"/>
  <c r="B322" i="1"/>
  <c r="A322" i="1"/>
  <c r="C78" i="1"/>
  <c r="B78" i="1"/>
  <c r="A78" i="1"/>
  <c r="C290" i="1"/>
  <c r="B290" i="1"/>
  <c r="A290" i="1"/>
  <c r="C39" i="1"/>
  <c r="B39" i="1"/>
  <c r="B226" i="1"/>
  <c r="B227" i="1"/>
  <c r="B229" i="1"/>
  <c r="B230" i="1"/>
  <c r="B231" i="1"/>
  <c r="B232" i="1"/>
  <c r="B235" i="1"/>
  <c r="B239" i="1"/>
  <c r="B240" i="1"/>
  <c r="B241" i="1"/>
  <c r="B243" i="1"/>
  <c r="B249" i="1"/>
  <c r="B254" i="1"/>
  <c r="B178" i="1"/>
  <c r="B331" i="1"/>
  <c r="B330" i="1"/>
  <c r="B5" i="1"/>
  <c r="B68" i="1"/>
  <c r="B67" i="1"/>
  <c r="B61" i="1"/>
  <c r="B58" i="1"/>
  <c r="B56" i="1"/>
  <c r="B55" i="1"/>
  <c r="B54" i="1"/>
  <c r="B43" i="1"/>
  <c r="B51" i="1"/>
  <c r="B50" i="1"/>
  <c r="B42" i="1"/>
  <c r="B40" i="1"/>
  <c r="B38" i="1"/>
  <c r="B37" i="1"/>
  <c r="B35" i="1"/>
  <c r="B33" i="1"/>
  <c r="B32" i="1"/>
  <c r="B30" i="1"/>
  <c r="B28" i="1"/>
  <c r="B27" i="1"/>
  <c r="B20" i="1"/>
  <c r="B24" i="1"/>
  <c r="B23" i="1"/>
  <c r="B22" i="1"/>
  <c r="B16" i="1"/>
  <c r="B15" i="1"/>
  <c r="B14" i="1"/>
  <c r="B12" i="1"/>
  <c r="B11" i="1"/>
  <c r="B8" i="1"/>
  <c r="B7" i="1"/>
  <c r="B6" i="1"/>
  <c r="B3" i="1"/>
  <c r="B4" i="1"/>
  <c r="B350" i="1"/>
  <c r="B171" i="1"/>
  <c r="B170" i="1"/>
  <c r="B169" i="1"/>
  <c r="B168" i="1"/>
  <c r="B167" i="1"/>
  <c r="B166" i="1"/>
  <c r="B329" i="1"/>
  <c r="B165" i="1"/>
  <c r="B164" i="1"/>
  <c r="B162" i="1"/>
  <c r="B161" i="1"/>
  <c r="B156" i="1"/>
  <c r="B154" i="1"/>
  <c r="B153" i="1"/>
  <c r="B152" i="1"/>
  <c r="B151" i="1"/>
  <c r="B150" i="1"/>
  <c r="B147" i="1"/>
  <c r="B146" i="1"/>
  <c r="B145" i="1"/>
  <c r="B144" i="1"/>
  <c r="B143" i="1"/>
  <c r="B138" i="1"/>
  <c r="B136" i="1"/>
  <c r="B132" i="1"/>
  <c r="B126" i="1"/>
  <c r="B124" i="1"/>
  <c r="B122" i="1"/>
  <c r="B120" i="1"/>
  <c r="B118" i="1"/>
  <c r="B117" i="1"/>
  <c r="B115" i="1"/>
  <c r="B114" i="1"/>
  <c r="B113" i="1"/>
  <c r="B112" i="1"/>
  <c r="B111" i="1"/>
  <c r="B110" i="1"/>
  <c r="B109" i="1"/>
  <c r="B107" i="1"/>
  <c r="B106" i="1"/>
  <c r="B103" i="1"/>
  <c r="B102" i="1"/>
  <c r="B100" i="1"/>
  <c r="B99" i="1"/>
  <c r="B98" i="1"/>
  <c r="B172" i="1"/>
  <c r="B93" i="1"/>
  <c r="B91" i="1"/>
  <c r="B76" i="1"/>
  <c r="B75" i="1"/>
  <c r="B74" i="1"/>
  <c r="B73" i="1"/>
  <c r="B72" i="1"/>
  <c r="B71" i="1"/>
  <c r="B70" i="1"/>
  <c r="F178" i="1"/>
  <c r="C271" i="1"/>
  <c r="B271" i="1"/>
  <c r="A271" i="1"/>
  <c r="C137" i="1"/>
  <c r="A137" i="1"/>
  <c r="B137" i="1"/>
  <c r="G262" i="10"/>
  <c r="G99" i="1"/>
  <c r="C222" i="1"/>
  <c r="B222" i="1"/>
  <c r="A222" i="1"/>
  <c r="B189" i="1"/>
  <c r="B325" i="1"/>
  <c r="E23" i="15"/>
  <c r="E249" i="1"/>
  <c r="C249" i="1"/>
  <c r="A249" i="1"/>
  <c r="C243" i="1"/>
  <c r="A243" i="1"/>
  <c r="C195" i="1"/>
  <c r="C189" i="1"/>
  <c r="C165" i="1"/>
  <c r="A189" i="1"/>
  <c r="A195" i="1"/>
  <c r="B195" i="1"/>
  <c r="A165" i="1"/>
  <c r="C185" i="1"/>
  <c r="C172" i="1"/>
  <c r="A185" i="1"/>
  <c r="B185" i="1"/>
  <c r="A172" i="1"/>
  <c r="C184" i="1"/>
  <c r="C164" i="1"/>
  <c r="A184" i="1"/>
  <c r="B184" i="1"/>
  <c r="A164" i="1"/>
  <c r="A194" i="1"/>
  <c r="B194" i="1"/>
  <c r="C194" i="1"/>
  <c r="C163" i="1"/>
  <c r="A163" i="1"/>
  <c r="C193" i="1"/>
  <c r="C188" i="1"/>
  <c r="C171" i="1"/>
  <c r="A188" i="1"/>
  <c r="B188" i="1"/>
  <c r="A193" i="1"/>
  <c r="B193" i="1"/>
  <c r="A171" i="1"/>
  <c r="A180" i="1"/>
  <c r="B180" i="1"/>
  <c r="C180" i="1"/>
  <c r="C176" i="1"/>
  <c r="B176" i="1"/>
  <c r="A176" i="1"/>
  <c r="A169" i="1"/>
  <c r="C169" i="1"/>
  <c r="A179" i="1"/>
  <c r="A192" i="1"/>
  <c r="C192" i="1"/>
  <c r="C179" i="1"/>
  <c r="C331" i="1"/>
  <c r="A331" i="1"/>
  <c r="C187" i="1"/>
  <c r="C170" i="1"/>
  <c r="C168" i="1"/>
  <c r="C161" i="1"/>
  <c r="A168" i="1"/>
  <c r="A170" i="1"/>
  <c r="A187" i="1"/>
  <c r="B187" i="1"/>
  <c r="A161" i="1"/>
  <c r="C197" i="1"/>
  <c r="C191" i="1"/>
  <c r="C182" i="1"/>
  <c r="C174" i="1"/>
  <c r="C330" i="1"/>
  <c r="A174" i="1"/>
  <c r="B174" i="1"/>
  <c r="A182" i="1"/>
  <c r="B182" i="1"/>
  <c r="A191" i="1"/>
  <c r="B191" i="1"/>
  <c r="A197" i="1"/>
  <c r="B197" i="1"/>
  <c r="A330" i="1"/>
  <c r="A186" i="1"/>
  <c r="B186" i="1"/>
  <c r="A178" i="1"/>
  <c r="C186" i="1"/>
  <c r="C178" i="1"/>
  <c r="B173" i="1"/>
  <c r="B196" i="1"/>
  <c r="A173" i="1"/>
  <c r="A196" i="1"/>
  <c r="C196" i="1"/>
  <c r="C173" i="1"/>
  <c r="B177" i="1"/>
  <c r="A177" i="1"/>
  <c r="C177" i="1"/>
  <c r="C181" i="1"/>
  <c r="C329" i="1"/>
  <c r="B181" i="1"/>
  <c r="A181" i="1"/>
  <c r="A329" i="1"/>
  <c r="A166" i="1"/>
  <c r="C166" i="1"/>
  <c r="C67" i="1"/>
  <c r="C254" i="1"/>
  <c r="A254" i="1"/>
  <c r="A277" i="1"/>
  <c r="B277" i="1"/>
  <c r="A278" i="1"/>
  <c r="B278" i="1"/>
  <c r="C277" i="1"/>
  <c r="C278" i="1"/>
  <c r="B276" i="1"/>
  <c r="A276" i="1"/>
  <c r="C276" i="1"/>
  <c r="C349" i="1"/>
  <c r="C281" i="1"/>
  <c r="C274" i="1"/>
  <c r="C270" i="1"/>
  <c r="C231" i="1"/>
  <c r="C144" i="1"/>
  <c r="B270" i="1"/>
  <c r="B274" i="1"/>
  <c r="B281" i="1"/>
  <c r="B349" i="1"/>
  <c r="A231" i="1"/>
  <c r="A270" i="1"/>
  <c r="A274" i="1"/>
  <c r="A281" i="1"/>
  <c r="A349" i="1"/>
  <c r="A144" i="1"/>
  <c r="H20" i="22"/>
  <c r="H21" i="22"/>
  <c r="H16" i="22"/>
  <c r="H17" i="22"/>
  <c r="E124" i="1"/>
  <c r="A124" i="1"/>
  <c r="A122" i="1"/>
  <c r="A30" i="1"/>
  <c r="A132" i="1"/>
  <c r="A24" i="1"/>
  <c r="A23" i="1"/>
  <c r="A26" i="1"/>
  <c r="A20" i="1"/>
  <c r="A27" i="1"/>
  <c r="A28" i="1"/>
  <c r="A22" i="1"/>
  <c r="A120" i="1"/>
  <c r="A70" i="1"/>
  <c r="A73" i="1"/>
  <c r="A74" i="1"/>
  <c r="A75" i="1"/>
  <c r="A76" i="1"/>
  <c r="A13" i="1"/>
  <c r="A320" i="1"/>
  <c r="F16" i="20"/>
  <c r="F24" i="1"/>
  <c r="E16" i="20"/>
  <c r="E75" i="1"/>
  <c r="E3" i="20"/>
  <c r="E25" i="1"/>
  <c r="C320" i="1"/>
  <c r="C13" i="1"/>
  <c r="C76" i="1"/>
  <c r="C75" i="1"/>
  <c r="C74" i="1"/>
  <c r="C73" i="1"/>
  <c r="C70" i="1"/>
  <c r="C24" i="1"/>
  <c r="C28" i="1"/>
  <c r="C27" i="1"/>
  <c r="C20" i="1"/>
  <c r="C26" i="1"/>
  <c r="C22" i="1"/>
  <c r="B320" i="1"/>
  <c r="F120" i="1"/>
  <c r="E120" i="1"/>
  <c r="C120" i="1"/>
  <c r="A136" i="1"/>
  <c r="C136" i="1"/>
  <c r="C293" i="1"/>
  <c r="C153" i="1"/>
  <c r="C60" i="1"/>
  <c r="C100" i="1"/>
  <c r="C99" i="1"/>
  <c r="C346" i="1"/>
  <c r="C339" i="1"/>
  <c r="C337" i="1"/>
  <c r="C154" i="1"/>
  <c r="C107" i="1"/>
  <c r="C54" i="1"/>
  <c r="C43" i="1"/>
  <c r="C345" i="1"/>
  <c r="C240" i="1"/>
  <c r="C235" i="1"/>
  <c r="C138" i="1"/>
  <c r="C117" i="1"/>
  <c r="C115" i="1"/>
  <c r="C111" i="1"/>
  <c r="C102" i="1"/>
  <c r="C42" i="1"/>
  <c r="C37" i="1"/>
  <c r="C33" i="1"/>
  <c r="C14" i="1"/>
  <c r="C298" i="1"/>
  <c r="C297" i="1"/>
  <c r="C264" i="1"/>
  <c r="C232" i="1"/>
  <c r="C226" i="1"/>
  <c r="C350" i="1"/>
  <c r="C343" i="1"/>
  <c r="C334" i="1"/>
  <c r="C183" i="1"/>
  <c r="C7" i="1"/>
  <c r="C348" i="1"/>
  <c r="C307" i="1"/>
  <c r="C306" i="1"/>
  <c r="C305" i="1"/>
  <c r="C303" i="1"/>
  <c r="C300" i="1"/>
  <c r="C287" i="1"/>
  <c r="C269" i="1"/>
  <c r="C241" i="1"/>
  <c r="C221" i="1"/>
  <c r="C156" i="1"/>
  <c r="C162" i="1"/>
  <c r="C152" i="1"/>
  <c r="C106" i="1"/>
  <c r="C51" i="1"/>
  <c r="C237" i="1"/>
  <c r="C142" i="1"/>
  <c r="C141" i="1"/>
  <c r="C116" i="1"/>
  <c r="C97" i="1"/>
  <c r="C96" i="1"/>
  <c r="C69" i="1"/>
  <c r="C57" i="1"/>
  <c r="C41" i="1"/>
  <c r="C32" i="1"/>
  <c r="B267" i="1"/>
  <c r="B221" i="1"/>
  <c r="B269" i="1"/>
  <c r="B287" i="1"/>
  <c r="B300" i="1"/>
  <c r="B303" i="1"/>
  <c r="B305" i="1"/>
  <c r="B306" i="1"/>
  <c r="B307" i="1"/>
  <c r="B348" i="1"/>
  <c r="B183" i="1"/>
  <c r="B343" i="1"/>
  <c r="B264" i="1"/>
  <c r="B297" i="1"/>
  <c r="B298" i="1"/>
  <c r="B323" i="1"/>
  <c r="B213" i="1"/>
  <c r="B345" i="1"/>
  <c r="B284" i="1"/>
  <c r="B337" i="1"/>
  <c r="B339" i="1"/>
  <c r="B346" i="1"/>
  <c r="B293" i="1"/>
  <c r="A96" i="1"/>
  <c r="A97" i="1"/>
  <c r="A116" i="1"/>
  <c r="A141" i="1"/>
  <c r="A142" i="1"/>
  <c r="A237" i="1"/>
  <c r="A267" i="1"/>
  <c r="A51" i="1"/>
  <c r="A106" i="1"/>
  <c r="A152" i="1"/>
  <c r="A162" i="1"/>
  <c r="A156" i="1"/>
  <c r="A221" i="1"/>
  <c r="A241" i="1"/>
  <c r="A269" i="1"/>
  <c r="A287" i="1"/>
  <c r="A300" i="1"/>
  <c r="A303" i="1"/>
  <c r="A305" i="1"/>
  <c r="A306" i="1"/>
  <c r="A307" i="1"/>
  <c r="A348" i="1"/>
  <c r="A7" i="1"/>
  <c r="A183" i="1"/>
  <c r="A334" i="1"/>
  <c r="A343" i="1"/>
  <c r="A350" i="1"/>
  <c r="A226" i="1"/>
  <c r="A232" i="1"/>
  <c r="A264" i="1"/>
  <c r="A297" i="1"/>
  <c r="A298" i="1"/>
  <c r="A323" i="1"/>
  <c r="A14" i="1"/>
  <c r="A33" i="1"/>
  <c r="A37" i="1"/>
  <c r="A42" i="1"/>
  <c r="A102" i="1"/>
  <c r="A111" i="1"/>
  <c r="A115" i="1"/>
  <c r="A117" i="1"/>
  <c r="A138" i="1"/>
  <c r="A213" i="1"/>
  <c r="A235" i="1"/>
  <c r="A240" i="1"/>
  <c r="A345" i="1"/>
  <c r="A43" i="1"/>
  <c r="A54" i="1"/>
  <c r="A107" i="1"/>
  <c r="A154" i="1"/>
  <c r="A284" i="1"/>
  <c r="A337" i="1"/>
  <c r="A339" i="1"/>
  <c r="A346" i="1"/>
  <c r="A99" i="1"/>
  <c r="A100" i="1"/>
  <c r="A60" i="1"/>
  <c r="A153" i="1"/>
  <c r="A293" i="1"/>
  <c r="A32" i="1"/>
  <c r="A113" i="1"/>
  <c r="A114" i="1"/>
  <c r="A150" i="1"/>
  <c r="A175" i="1"/>
  <c r="A198" i="1"/>
  <c r="A326" i="1"/>
  <c r="A327" i="1"/>
  <c r="A344" i="1"/>
  <c r="B175" i="1"/>
  <c r="B198" i="1"/>
  <c r="B326" i="1"/>
  <c r="B327" i="1"/>
  <c r="B344" i="1"/>
  <c r="C344" i="1"/>
  <c r="C327" i="1"/>
  <c r="C326" i="1"/>
  <c r="C198" i="1"/>
  <c r="C175" i="1"/>
  <c r="C150" i="1"/>
  <c r="C114" i="1"/>
  <c r="C113" i="1"/>
  <c r="C332" i="1"/>
  <c r="C301" i="1"/>
  <c r="C299" i="1"/>
  <c r="C296" i="1"/>
  <c r="C288" i="1"/>
  <c r="C283" i="1"/>
  <c r="C268" i="1"/>
  <c r="C263" i="1"/>
  <c r="C227" i="1"/>
  <c r="C151" i="1"/>
  <c r="C143" i="1"/>
  <c r="C112" i="1"/>
  <c r="C71" i="1"/>
  <c r="C61" i="1"/>
  <c r="C56" i="1"/>
  <c r="C55" i="1"/>
  <c r="C50" i="1"/>
  <c r="C38" i="1"/>
  <c r="C16" i="1"/>
  <c r="C15" i="1"/>
  <c r="B347" i="1"/>
  <c r="A347" i="1"/>
  <c r="B332" i="1"/>
  <c r="A332" i="1"/>
  <c r="B302" i="1"/>
  <c r="A302" i="1"/>
  <c r="B301" i="1"/>
  <c r="A301" i="1"/>
  <c r="B299" i="1"/>
  <c r="A299" i="1"/>
  <c r="B296" i="1"/>
  <c r="A296" i="1"/>
  <c r="B294" i="1"/>
  <c r="A294" i="1"/>
  <c r="B288" i="1"/>
  <c r="A288" i="1"/>
  <c r="B283" i="1"/>
  <c r="A283" i="1"/>
  <c r="B268" i="1"/>
  <c r="A268" i="1"/>
  <c r="B263" i="1"/>
  <c r="A263" i="1"/>
  <c r="A227" i="1"/>
  <c r="A151" i="1"/>
  <c r="A143" i="1"/>
  <c r="A112" i="1"/>
  <c r="A71" i="1"/>
  <c r="A61" i="1"/>
  <c r="A56" i="1"/>
  <c r="A55" i="1"/>
  <c r="A50" i="1"/>
  <c r="A38" i="1"/>
  <c r="A16" i="1"/>
  <c r="A15" i="1"/>
  <c r="A5" i="1"/>
  <c r="C5" i="1"/>
  <c r="C126" i="1"/>
  <c r="C93" i="1"/>
  <c r="C91" i="1"/>
  <c r="C8" i="1"/>
  <c r="C265" i="1"/>
  <c r="C229" i="1"/>
  <c r="C146" i="1"/>
  <c r="C145" i="1"/>
  <c r="C118" i="1"/>
  <c r="C58" i="1"/>
  <c r="C35" i="1"/>
  <c r="C266" i="1"/>
  <c r="C103" i="1"/>
  <c r="C68" i="1"/>
  <c r="C40" i="1"/>
  <c r="C12" i="1"/>
  <c r="C11" i="1"/>
  <c r="B265" i="1"/>
  <c r="B266" i="1"/>
  <c r="B292" i="1"/>
  <c r="B279" i="1"/>
  <c r="B272" i="1"/>
  <c r="A126" i="1"/>
  <c r="A93" i="1"/>
  <c r="A91" i="1"/>
  <c r="A8" i="1"/>
  <c r="A325" i="1"/>
  <c r="A265" i="1"/>
  <c r="A229" i="1"/>
  <c r="A146" i="1"/>
  <c r="A145" i="1"/>
  <c r="A118" i="1"/>
  <c r="A58" i="1"/>
  <c r="A35" i="1"/>
  <c r="A266" i="1"/>
  <c r="A110" i="1"/>
  <c r="A109" i="1"/>
  <c r="A103" i="1"/>
  <c r="A68" i="1"/>
  <c r="A40" i="1"/>
  <c r="A12" i="1"/>
  <c r="A11" i="1"/>
  <c r="A292" i="1"/>
  <c r="A279" i="1"/>
  <c r="A272" i="1"/>
  <c r="A167" i="1"/>
  <c r="C292" i="1"/>
  <c r="C279" i="1"/>
  <c r="C272" i="1"/>
  <c r="C167" i="1"/>
  <c r="B324" i="1"/>
  <c r="B309" i="1"/>
  <c r="B204" i="1"/>
  <c r="A324" i="1"/>
  <c r="A309" i="1"/>
  <c r="A239" i="1"/>
  <c r="A204" i="1"/>
  <c r="C309" i="1"/>
  <c r="C239" i="1"/>
  <c r="C204" i="1"/>
  <c r="C147" i="1"/>
  <c r="C6" i="1"/>
  <c r="C291" i="1"/>
  <c r="C273" i="1"/>
  <c r="B291" i="1"/>
  <c r="B273" i="1"/>
  <c r="A291" i="1"/>
  <c r="A273" i="1"/>
  <c r="B319" i="1"/>
  <c r="B304" i="1"/>
  <c r="B282" i="1"/>
  <c r="A319" i="1"/>
  <c r="A304" i="1"/>
  <c r="A282" i="1"/>
  <c r="A67" i="1"/>
  <c r="A4" i="1"/>
  <c r="A98" i="1"/>
  <c r="A3" i="1"/>
  <c r="C319" i="1"/>
  <c r="C304" i="1"/>
  <c r="C282" i="1"/>
  <c r="C98" i="1"/>
  <c r="C4" i="1"/>
  <c r="C3" i="1"/>
  <c r="B224" i="1"/>
  <c r="B280" i="1"/>
  <c r="B318" i="1"/>
  <c r="B225" i="1"/>
  <c r="B317" i="1"/>
  <c r="A224" i="1"/>
  <c r="A280" i="1"/>
  <c r="A318" i="1"/>
  <c r="A230" i="1"/>
  <c r="A225" i="1"/>
  <c r="A317" i="1"/>
  <c r="C224" i="1"/>
  <c r="C280" i="1"/>
  <c r="C318" i="1"/>
  <c r="C230" i="1"/>
  <c r="C225" i="1"/>
  <c r="C317" i="1"/>
  <c r="A72" i="1"/>
  <c r="E7" i="7"/>
  <c r="E81" i="1"/>
  <c r="A125" i="1"/>
  <c r="A88" i="1"/>
  <c r="A87" i="1"/>
  <c r="A81" i="1"/>
  <c r="A86" i="1"/>
  <c r="A84" i="1"/>
  <c r="A83" i="1"/>
  <c r="A47" i="1"/>
  <c r="A46" i="1"/>
  <c r="A45" i="1"/>
  <c r="A85" i="1"/>
  <c r="A9" i="1"/>
  <c r="C210" i="1"/>
  <c r="C209" i="1"/>
  <c r="A210" i="1"/>
  <c r="A209" i="1"/>
  <c r="A207" i="1"/>
  <c r="A206" i="1"/>
  <c r="B210" i="1"/>
  <c r="B209" i="1"/>
  <c r="B207" i="1"/>
  <c r="B206" i="1"/>
  <c r="C207" i="1"/>
  <c r="C206" i="1"/>
  <c r="E13" i="17"/>
  <c r="G313" i="10"/>
  <c r="F313" i="10"/>
  <c r="E313" i="10"/>
  <c r="G311" i="10"/>
  <c r="F311" i="10"/>
  <c r="E311" i="10"/>
  <c r="L313" i="10"/>
  <c r="G305" i="10"/>
  <c r="F305" i="10"/>
  <c r="E305" i="10"/>
  <c r="G303" i="10"/>
  <c r="E303" i="10"/>
  <c r="G301" i="10"/>
  <c r="F301" i="10"/>
  <c r="E301" i="10"/>
  <c r="G299" i="10"/>
  <c r="E299" i="10"/>
  <c r="E273" i="10"/>
  <c r="G194" i="10"/>
  <c r="E148" i="10"/>
  <c r="E66" i="10"/>
  <c r="G309" i="10"/>
  <c r="F309" i="10"/>
  <c r="E309" i="10"/>
  <c r="G307" i="10"/>
  <c r="E307" i="10"/>
  <c r="E9" i="7"/>
  <c r="G5" i="7"/>
  <c r="E5" i="7"/>
  <c r="F18" i="20"/>
  <c r="E18" i="20"/>
  <c r="E5" i="20"/>
  <c r="L3" i="18"/>
  <c r="L3" i="28"/>
  <c r="F23" i="10"/>
  <c r="M23" i="10"/>
  <c r="F299" i="10"/>
  <c r="F303" i="10"/>
  <c r="F307" i="10"/>
  <c r="G277" i="1"/>
  <c r="G278" i="1"/>
  <c r="K7" i="25"/>
  <c r="F278" i="1"/>
  <c r="L7" i="25"/>
  <c r="E277" i="1"/>
  <c r="F276" i="1"/>
  <c r="L3" i="25"/>
  <c r="K3" i="25"/>
  <c r="E276" i="1"/>
  <c r="O3" i="16"/>
  <c r="H13" i="17"/>
  <c r="H5" i="16"/>
  <c r="E5" i="16"/>
  <c r="F3" i="29"/>
  <c r="F134" i="1"/>
  <c r="F305" i="1"/>
  <c r="G27" i="10"/>
  <c r="G98" i="1"/>
  <c r="G48" i="10"/>
  <c r="G2" i="1"/>
  <c r="I13" i="17"/>
  <c r="G20" i="17"/>
  <c r="G14" i="17"/>
  <c r="E9" i="17"/>
  <c r="I20" i="17"/>
  <c r="I7" i="17"/>
  <c r="E12" i="17"/>
  <c r="E19" i="15"/>
  <c r="E20" i="15"/>
  <c r="K7" i="14"/>
  <c r="F13" i="1"/>
  <c r="G17" i="1"/>
  <c r="E28" i="1"/>
  <c r="E21" i="1"/>
  <c r="L5" i="25"/>
  <c r="E297" i="10"/>
  <c r="G112" i="1"/>
  <c r="K5" i="25"/>
  <c r="F76" i="1"/>
  <c r="E22" i="1"/>
  <c r="E17" i="1"/>
  <c r="E26" i="1"/>
  <c r="E19" i="1"/>
  <c r="G12" i="17"/>
  <c r="G25" i="17"/>
  <c r="J25" i="17"/>
  <c r="E8" i="17"/>
  <c r="I9" i="17"/>
  <c r="E25" i="17"/>
  <c r="G13" i="17"/>
  <c r="G7" i="17"/>
  <c r="G136" i="1"/>
  <c r="F136" i="1"/>
  <c r="E17" i="17"/>
  <c r="I12" i="17"/>
  <c r="G17" i="17"/>
  <c r="E21" i="15"/>
  <c r="E22" i="15"/>
  <c r="G249" i="1"/>
  <c r="K5" i="14"/>
  <c r="K8" i="14"/>
  <c r="E25" i="15"/>
  <c r="G243" i="1"/>
  <c r="K4" i="14"/>
  <c r="K3" i="14"/>
  <c r="L5" i="14"/>
  <c r="E8" i="1"/>
  <c r="F39" i="10"/>
  <c r="L39" i="10"/>
  <c r="G236" i="1"/>
  <c r="E59" i="10"/>
  <c r="E264" i="10"/>
  <c r="F226" i="1"/>
  <c r="G25" i="10"/>
  <c r="E126" i="1"/>
  <c r="E183" i="1"/>
  <c r="E27" i="10"/>
  <c r="F15" i="10"/>
  <c r="L15" i="10"/>
  <c r="E174" i="1"/>
  <c r="E191" i="1"/>
  <c r="G13" i="10"/>
  <c r="G333" i="1"/>
  <c r="F31" i="10"/>
  <c r="E78" i="1"/>
  <c r="E182" i="1"/>
  <c r="E270" i="1"/>
  <c r="E50" i="10"/>
  <c r="E339" i="1"/>
  <c r="G271" i="10"/>
  <c r="G148" i="1"/>
  <c r="G64" i="10"/>
  <c r="G21" i="10"/>
  <c r="E274" i="1"/>
  <c r="E330" i="1"/>
  <c r="E205" i="1"/>
  <c r="F96" i="1"/>
  <c r="F57" i="10"/>
  <c r="F173" i="1"/>
  <c r="E231" i="1"/>
  <c r="E325" i="1"/>
  <c r="E349" i="1"/>
  <c r="E197" i="1"/>
  <c r="E88" i="10"/>
  <c r="E209" i="10"/>
  <c r="F250" i="10"/>
  <c r="F108" i="10"/>
  <c r="E281" i="1"/>
  <c r="E144" i="1"/>
  <c r="E93" i="1"/>
  <c r="G5" i="10"/>
  <c r="E171" i="10"/>
  <c r="E333" i="1"/>
  <c r="G170" i="1"/>
  <c r="G297" i="10"/>
  <c r="G268" i="1"/>
  <c r="E268" i="1"/>
  <c r="F268" i="1"/>
  <c r="G50" i="1"/>
  <c r="G108" i="10"/>
  <c r="F240" i="1"/>
  <c r="F13" i="10"/>
  <c r="E41" i="10"/>
  <c r="G151" i="1"/>
  <c r="G17" i="10"/>
  <c r="G71" i="1"/>
  <c r="G31" i="10"/>
  <c r="G4" i="1"/>
  <c r="G224" i="1"/>
  <c r="G182" i="1"/>
  <c r="L87" i="10"/>
  <c r="E11" i="10"/>
  <c r="E230" i="1"/>
  <c r="F230" i="1"/>
  <c r="E13" i="10"/>
  <c r="E23" i="10"/>
  <c r="E224" i="1"/>
  <c r="E25" i="10"/>
  <c r="E43" i="10"/>
  <c r="E291" i="1"/>
  <c r="E45" i="10"/>
  <c r="F50" i="10"/>
  <c r="F48" i="10"/>
  <c r="G57" i="10"/>
  <c r="G272" i="1"/>
  <c r="G59" i="10"/>
  <c r="E265" i="1"/>
  <c r="E75" i="10"/>
  <c r="F86" i="10"/>
  <c r="F270" i="1"/>
  <c r="F88" i="10"/>
  <c r="E116" i="1"/>
  <c r="G97" i="1"/>
  <c r="G237" i="1"/>
  <c r="G308" i="1"/>
  <c r="E221" i="10"/>
  <c r="F262" i="10"/>
  <c r="F172" i="1"/>
  <c r="F264" i="10"/>
  <c r="F271" i="10"/>
  <c r="F60" i="1"/>
  <c r="F273" i="10"/>
  <c r="G161" i="1"/>
  <c r="G38" i="1"/>
  <c r="G187" i="1"/>
  <c r="G299" i="1"/>
  <c r="G330" i="1"/>
  <c r="G9" i="10"/>
  <c r="G171" i="10"/>
  <c r="E7" i="10"/>
  <c r="E4" i="1"/>
  <c r="E304" i="1"/>
  <c r="G304" i="1"/>
  <c r="F304" i="1"/>
  <c r="E282" i="1"/>
  <c r="F19" i="10"/>
  <c r="F21" i="10"/>
  <c r="G45" i="10"/>
  <c r="G43" i="10"/>
  <c r="E272" i="1"/>
  <c r="F64" i="10"/>
  <c r="F68" i="1"/>
  <c r="F66" i="10"/>
  <c r="G178" i="1"/>
  <c r="G75" i="10"/>
  <c r="E106" i="10"/>
  <c r="E263" i="1"/>
  <c r="E108" i="10"/>
  <c r="F135" i="10"/>
  <c r="F333" i="1"/>
  <c r="F223" i="1"/>
  <c r="F194" i="10"/>
  <c r="G138" i="1"/>
  <c r="G221" i="10"/>
  <c r="G323" i="1"/>
  <c r="G250" i="10"/>
  <c r="G227" i="1"/>
  <c r="G263" i="1"/>
  <c r="F27" i="10"/>
  <c r="M25" i="10"/>
  <c r="G126" i="1"/>
  <c r="E17" i="10"/>
  <c r="G148" i="10"/>
  <c r="E19" i="10"/>
  <c r="L21" i="10"/>
  <c r="E21" i="10"/>
  <c r="F45" i="10"/>
  <c r="F43" i="10"/>
  <c r="E99" i="1"/>
  <c r="G39" i="10"/>
  <c r="G41" i="10"/>
  <c r="G28" i="1"/>
  <c r="G26" i="1"/>
  <c r="G27" i="1"/>
  <c r="G19" i="1"/>
  <c r="G20" i="1"/>
  <c r="G24" i="1"/>
  <c r="G75" i="1"/>
  <c r="L17" i="20"/>
  <c r="E23" i="1"/>
  <c r="F320" i="1"/>
  <c r="F74" i="1"/>
  <c r="E27" i="1"/>
  <c r="E13" i="1"/>
  <c r="E108" i="1"/>
  <c r="G5" i="20"/>
  <c r="F3" i="20"/>
  <c r="G18" i="20"/>
  <c r="F70" i="1"/>
  <c r="F75" i="1"/>
  <c r="E20" i="1"/>
  <c r="E73" i="1"/>
  <c r="G122" i="1"/>
  <c r="G11" i="22"/>
  <c r="G12" i="22"/>
  <c r="E122" i="1"/>
  <c r="G124" i="1"/>
  <c r="H11" i="22"/>
  <c r="H12" i="22"/>
  <c r="G30" i="1"/>
  <c r="G132" i="1"/>
  <c r="G3" i="22"/>
  <c r="E132" i="1"/>
  <c r="E30" i="1"/>
  <c r="H4" i="22"/>
  <c r="H5" i="22"/>
  <c r="G5" i="1"/>
  <c r="G9" i="17"/>
  <c r="G8" i="17"/>
  <c r="F281" i="1"/>
  <c r="F274" i="1"/>
  <c r="F21" i="1"/>
  <c r="G264" i="1"/>
  <c r="G113" i="1"/>
  <c r="L86" i="10"/>
  <c r="F27" i="1"/>
  <c r="F108" i="1"/>
  <c r="F20" i="1"/>
  <c r="F64" i="1"/>
  <c r="F55" i="1"/>
  <c r="L29" i="10"/>
  <c r="F186" i="1"/>
  <c r="M48" i="10"/>
  <c r="F161" i="1"/>
  <c r="F58" i="1"/>
  <c r="F91" i="1"/>
  <c r="L262" i="10"/>
  <c r="E5" i="1"/>
  <c r="F247" i="1"/>
  <c r="G34" i="1"/>
  <c r="E34" i="1"/>
  <c r="F34" i="1"/>
  <c r="E187" i="1"/>
  <c r="G338" i="1"/>
  <c r="G147" i="1"/>
  <c r="M19" i="10"/>
  <c r="E55" i="1"/>
  <c r="E61" i="1"/>
  <c r="L304" i="10"/>
  <c r="F343" i="1"/>
  <c r="E38" i="1"/>
  <c r="G337" i="1"/>
  <c r="E71" i="1"/>
  <c r="F165" i="1"/>
  <c r="G214" i="1"/>
  <c r="G14" i="1"/>
  <c r="F271" i="1"/>
  <c r="F156" i="1"/>
  <c r="E346" i="1"/>
  <c r="N297" i="10"/>
  <c r="F237" i="1"/>
  <c r="F241" i="1"/>
  <c r="E283" i="1"/>
  <c r="E170" i="1"/>
  <c r="F183" i="1"/>
  <c r="L23" i="10"/>
  <c r="E280" i="1"/>
  <c r="G280" i="1"/>
  <c r="F280" i="1"/>
  <c r="E180" i="1"/>
  <c r="F288" i="10"/>
  <c r="G289" i="10"/>
  <c r="F169" i="1"/>
  <c r="F5" i="1"/>
  <c r="E332" i="1"/>
  <c r="E288" i="1"/>
  <c r="E296" i="1"/>
  <c r="F180" i="1"/>
  <c r="E299" i="1"/>
  <c r="F138" i="1"/>
  <c r="G282" i="1"/>
  <c r="F282" i="1"/>
  <c r="E164" i="1"/>
  <c r="E228" i="1"/>
  <c r="E289" i="10"/>
  <c r="G309" i="1"/>
  <c r="N289" i="10"/>
  <c r="F32" i="1"/>
  <c r="F295" i="1"/>
  <c r="F236" i="1"/>
  <c r="G174" i="1"/>
  <c r="G191" i="1"/>
  <c r="G93" i="1"/>
  <c r="L307" i="10"/>
  <c r="E15" i="1"/>
  <c r="F148" i="1"/>
  <c r="E143" i="1"/>
  <c r="E16" i="1"/>
  <c r="E168" i="1"/>
  <c r="F176" i="1"/>
  <c r="G39" i="1"/>
  <c r="E161" i="1"/>
  <c r="G186" i="1"/>
  <c r="E227" i="1"/>
  <c r="L17" i="10"/>
  <c r="L248" i="10"/>
  <c r="E350" i="1"/>
  <c r="F187" i="1"/>
  <c r="F168" i="1"/>
  <c r="G293" i="10"/>
  <c r="G8" i="1"/>
  <c r="G204" i="1"/>
  <c r="L19" i="10"/>
  <c r="G6" i="1"/>
  <c r="G274" i="1"/>
  <c r="G270" i="1"/>
  <c r="F306" i="1"/>
  <c r="F15" i="1"/>
  <c r="F283" i="1"/>
  <c r="N195" i="10"/>
  <c r="E214" i="1"/>
  <c r="L25" i="10"/>
  <c r="F292" i="10"/>
  <c r="F291" i="10"/>
  <c r="G349" i="1"/>
  <c r="N88" i="10"/>
  <c r="M303" i="10"/>
  <c r="L107" i="10"/>
  <c r="E56" i="1"/>
  <c r="L106" i="10"/>
  <c r="D3" i="26"/>
  <c r="D4" i="26"/>
  <c r="D5" i="26"/>
  <c r="E50" i="1"/>
  <c r="E151" i="1"/>
  <c r="F105" i="1"/>
  <c r="L88" i="10"/>
  <c r="E301" i="1"/>
  <c r="E112" i="1"/>
  <c r="E154" i="1"/>
  <c r="E54" i="1"/>
  <c r="E98" i="1"/>
  <c r="F98" i="1"/>
  <c r="E107" i="1"/>
  <c r="F71" i="1"/>
  <c r="F16" i="1"/>
  <c r="E241" i="1"/>
  <c r="E32" i="1"/>
  <c r="E285" i="10"/>
  <c r="G231" i="1"/>
  <c r="G281" i="1"/>
  <c r="M271" i="10"/>
  <c r="G325" i="1"/>
  <c r="F213" i="1"/>
  <c r="F293" i="10"/>
  <c r="E343" i="1"/>
  <c r="E106" i="1"/>
  <c r="F300" i="1"/>
  <c r="F303" i="1"/>
  <c r="F106" i="1"/>
  <c r="M311" i="10"/>
  <c r="F299" i="1"/>
  <c r="F287" i="1"/>
  <c r="E291" i="10"/>
  <c r="L289" i="10"/>
  <c r="F56" i="1"/>
  <c r="L285" i="10"/>
  <c r="F114" i="1"/>
  <c r="M21" i="10"/>
  <c r="G327" i="1"/>
  <c r="E105" i="1"/>
  <c r="M171" i="10"/>
  <c r="E308" i="1"/>
  <c r="L308" i="10"/>
  <c r="F174" i="1"/>
  <c r="F150" i="1"/>
  <c r="F195" i="1"/>
  <c r="G240" i="1"/>
  <c r="E337" i="1"/>
  <c r="G153" i="1"/>
  <c r="G293" i="1"/>
  <c r="F32" i="26"/>
  <c r="F33" i="26"/>
  <c r="F34" i="26"/>
  <c r="L171" i="10"/>
  <c r="L207" i="10"/>
  <c r="E184" i="1"/>
  <c r="E176" i="1"/>
  <c r="E90" i="1"/>
  <c r="F221" i="1"/>
  <c r="E3" i="26"/>
  <c r="F143" i="1"/>
  <c r="F263" i="1"/>
  <c r="F308" i="1"/>
  <c r="E307" i="1"/>
  <c r="E300" i="1"/>
  <c r="E141" i="1"/>
  <c r="E238" i="1"/>
  <c r="F269" i="1"/>
  <c r="E329" i="1"/>
  <c r="F144" i="1"/>
  <c r="L192" i="10"/>
  <c r="L32" i="10"/>
  <c r="E39" i="1"/>
  <c r="E7" i="1"/>
  <c r="E327" i="1"/>
  <c r="N108" i="10"/>
  <c r="E290" i="1"/>
  <c r="F288" i="1"/>
  <c r="N33" i="10"/>
  <c r="F146" i="1"/>
  <c r="M45" i="10"/>
  <c r="M29" i="10"/>
  <c r="E287" i="1"/>
  <c r="E97" i="1"/>
  <c r="E142" i="1"/>
  <c r="F296" i="10"/>
  <c r="F297" i="10"/>
  <c r="F162" i="1"/>
  <c r="F51" i="1"/>
  <c r="G283" i="10"/>
  <c r="L284" i="10"/>
  <c r="F307" i="1"/>
  <c r="F152" i="1"/>
  <c r="F348" i="1"/>
  <c r="M305" i="10"/>
  <c r="L311" i="10"/>
  <c r="E12" i="1"/>
  <c r="E324" i="1"/>
  <c r="E11" i="1"/>
  <c r="E53" i="1"/>
  <c r="E156" i="1"/>
  <c r="E303" i="1"/>
  <c r="E171" i="1"/>
  <c r="E298" i="1"/>
  <c r="F101" i="1"/>
  <c r="F338" i="1"/>
  <c r="F102" i="1"/>
  <c r="F111" i="1"/>
  <c r="F116" i="1"/>
  <c r="L146" i="10"/>
  <c r="F69" i="1"/>
  <c r="F192" i="1"/>
  <c r="F104" i="1"/>
  <c r="F41" i="1"/>
  <c r="M135" i="10"/>
  <c r="G90" i="1"/>
  <c r="G7" i="1"/>
  <c r="L193" i="10"/>
  <c r="L288" i="10"/>
  <c r="F50" i="1"/>
  <c r="F296" i="1"/>
  <c r="F332" i="1"/>
  <c r="F38" i="1"/>
  <c r="F112" i="1"/>
  <c r="F170" i="1"/>
  <c r="F61" i="1"/>
  <c r="F151" i="1"/>
  <c r="F301" i="1"/>
  <c r="E139" i="1"/>
  <c r="E295" i="1"/>
  <c r="E237" i="1"/>
  <c r="E179" i="1"/>
  <c r="E104" i="1"/>
  <c r="F43" i="1"/>
  <c r="F107" i="1"/>
  <c r="F4" i="10"/>
  <c r="F3" i="10"/>
  <c r="M3" i="10"/>
  <c r="E3" i="10"/>
  <c r="E321" i="1"/>
  <c r="F321" i="1"/>
  <c r="F235" i="1"/>
  <c r="F179" i="1"/>
  <c r="F139" i="1"/>
  <c r="M148" i="10"/>
  <c r="E306" i="1"/>
  <c r="L169" i="10"/>
  <c r="E275" i="1"/>
  <c r="E338" i="1"/>
  <c r="E188" i="1"/>
  <c r="E152" i="1"/>
  <c r="F171" i="1"/>
  <c r="F264" i="1"/>
  <c r="F232" i="1"/>
  <c r="F188" i="1"/>
  <c r="E236" i="1"/>
  <c r="L27" i="10"/>
  <c r="L219" i="10"/>
  <c r="F153" i="1"/>
  <c r="M209" i="10"/>
  <c r="F194" i="1"/>
  <c r="F295" i="10"/>
  <c r="L295" i="10"/>
  <c r="F57" i="1"/>
  <c r="F331" i="1"/>
  <c r="F142" i="1"/>
  <c r="F193" i="1"/>
  <c r="E341" i="1"/>
  <c r="E305" i="1"/>
  <c r="E269" i="1"/>
  <c r="L301" i="10"/>
  <c r="E226" i="1"/>
  <c r="E264" i="1"/>
  <c r="E221" i="1"/>
  <c r="E213" i="1"/>
  <c r="G189" i="1"/>
  <c r="G165" i="1"/>
  <c r="G60" i="1"/>
  <c r="G195" i="1"/>
  <c r="E223" i="1"/>
  <c r="E334" i="1"/>
  <c r="E267" i="1"/>
  <c r="L305" i="10"/>
  <c r="L303" i="10"/>
  <c r="F117" i="1"/>
  <c r="F238" i="1"/>
  <c r="F261" i="1"/>
  <c r="E348" i="1"/>
  <c r="F189" i="1"/>
  <c r="F293" i="1"/>
  <c r="F284" i="10"/>
  <c r="E163" i="1"/>
  <c r="L271" i="10"/>
  <c r="N41" i="10"/>
  <c r="F289" i="1"/>
  <c r="F97" i="1"/>
  <c r="F141" i="1"/>
  <c r="G324" i="1"/>
  <c r="G95" i="1"/>
  <c r="F341" i="1"/>
  <c r="F297" i="1"/>
  <c r="L195" i="10"/>
  <c r="F298" i="1"/>
  <c r="M146" i="10"/>
  <c r="G101" i="1"/>
  <c r="G341" i="1"/>
  <c r="G194" i="1"/>
  <c r="N45" i="10"/>
  <c r="G329" i="1"/>
  <c r="F329" i="1"/>
  <c r="E51" i="1"/>
  <c r="E162" i="1"/>
  <c r="L148" i="10"/>
  <c r="E297" i="1"/>
  <c r="E232" i="1"/>
  <c r="F205" i="1"/>
  <c r="F231" i="1"/>
  <c r="F8" i="1"/>
  <c r="G166" i="1"/>
  <c r="E166" i="1"/>
  <c r="F166" i="1"/>
  <c r="G319" i="1"/>
  <c r="E95" i="1"/>
  <c r="M309" i="10"/>
  <c r="F79" i="1"/>
  <c r="G239" i="1"/>
  <c r="E36" i="1"/>
  <c r="E323" i="1"/>
  <c r="F323" i="1"/>
  <c r="E43" i="1"/>
  <c r="G177" i="1"/>
  <c r="E177" i="1"/>
  <c r="F177" i="1"/>
  <c r="L20" i="10"/>
  <c r="G78" i="1"/>
  <c r="F78" i="1"/>
  <c r="G144" i="1"/>
  <c r="L48" i="10"/>
  <c r="G197" i="1"/>
  <c r="G205" i="1"/>
  <c r="G143" i="1"/>
  <c r="F285" i="1"/>
  <c r="M3" i="29"/>
  <c r="F73" i="1"/>
  <c r="E70" i="1"/>
  <c r="E320" i="1"/>
  <c r="E76" i="1"/>
  <c r="E74" i="1"/>
  <c r="L16" i="20"/>
  <c r="E24" i="1"/>
  <c r="L5" i="20"/>
  <c r="G13" i="1"/>
  <c r="M16" i="20"/>
  <c r="G108" i="1"/>
  <c r="G23" i="1"/>
  <c r="G22" i="1"/>
  <c r="L4" i="20"/>
  <c r="N4" i="16"/>
  <c r="N3" i="16"/>
  <c r="D5" i="16"/>
  <c r="I14" i="17"/>
  <c r="N3" i="13"/>
  <c r="P19" i="13"/>
  <c r="Q17" i="13"/>
  <c r="Q23" i="13"/>
  <c r="Q21" i="13"/>
  <c r="R17" i="13"/>
  <c r="Q19" i="13"/>
  <c r="Q15" i="13"/>
  <c r="O5" i="13"/>
  <c r="O3" i="13"/>
  <c r="R21" i="13"/>
  <c r="N25" i="10"/>
  <c r="G3" i="1"/>
  <c r="M27" i="10"/>
  <c r="F40" i="1"/>
  <c r="G35" i="1"/>
  <c r="G145" i="1"/>
  <c r="G301" i="1"/>
  <c r="G16" i="1"/>
  <c r="F3" i="26"/>
  <c r="L3" i="26"/>
  <c r="G168" i="1"/>
  <c r="G56" i="1"/>
  <c r="G332" i="1"/>
  <c r="G296" i="1"/>
  <c r="M106" i="10"/>
  <c r="G283" i="1"/>
  <c r="G55" i="1"/>
  <c r="G15" i="1"/>
  <c r="G288" i="1"/>
  <c r="M108" i="10"/>
  <c r="F198" i="1"/>
  <c r="G175" i="1"/>
  <c r="G150" i="1"/>
  <c r="F113" i="1"/>
  <c r="G198" i="1"/>
  <c r="G347" i="1"/>
  <c r="G114" i="1"/>
  <c r="G344" i="1"/>
  <c r="L208" i="10"/>
  <c r="M264" i="10"/>
  <c r="N265" i="10"/>
  <c r="F99" i="1"/>
  <c r="M250" i="10"/>
  <c r="F284" i="1"/>
  <c r="F100" i="1"/>
  <c r="E155" i="1"/>
  <c r="E117" i="1"/>
  <c r="M219" i="10"/>
  <c r="F42" i="1"/>
  <c r="F137" i="1"/>
  <c r="F94" i="1"/>
  <c r="F149" i="1"/>
  <c r="M221" i="10"/>
  <c r="F14" i="1"/>
  <c r="F163" i="1"/>
  <c r="F37" i="1"/>
  <c r="F155" i="1"/>
  <c r="E41" i="1"/>
  <c r="E261" i="1"/>
  <c r="E69" i="1"/>
  <c r="E96" i="1"/>
  <c r="E331" i="1"/>
  <c r="E57" i="1"/>
  <c r="E192" i="1"/>
  <c r="F175" i="1"/>
  <c r="F326" i="1"/>
  <c r="F347" i="1"/>
  <c r="E114" i="1"/>
  <c r="E150" i="1"/>
  <c r="M133" i="10"/>
  <c r="E32" i="26"/>
  <c r="E33" i="26"/>
  <c r="E34" i="26"/>
  <c r="F327" i="1"/>
  <c r="F344" i="1"/>
  <c r="F93" i="1"/>
  <c r="F349" i="1"/>
  <c r="F330" i="1"/>
  <c r="F182" i="1"/>
  <c r="F197" i="1"/>
  <c r="M86" i="10"/>
  <c r="F126" i="1"/>
  <c r="M88" i="10"/>
  <c r="F191" i="1"/>
  <c r="E271" i="1"/>
  <c r="E229" i="1"/>
  <c r="E178" i="1"/>
  <c r="E186" i="1"/>
  <c r="F103" i="1"/>
  <c r="E40" i="1"/>
  <c r="E266" i="1"/>
  <c r="E68" i="1"/>
  <c r="E173" i="1"/>
  <c r="E167" i="1"/>
  <c r="E196" i="1"/>
  <c r="E273" i="1"/>
  <c r="L43" i="10"/>
  <c r="M41" i="10"/>
  <c r="L41" i="10"/>
  <c r="L24" i="10"/>
  <c r="G317" i="1"/>
  <c r="M262" i="10"/>
  <c r="F33" i="1"/>
  <c r="F275" i="1"/>
  <c r="F115" i="1"/>
  <c r="F345" i="1"/>
  <c r="F234" i="1"/>
  <c r="F53" i="1"/>
  <c r="F266" i="1"/>
  <c r="F95" i="1"/>
  <c r="M33" i="10"/>
  <c r="M39" i="10"/>
  <c r="M31" i="10"/>
  <c r="M313" i="10"/>
  <c r="E195" i="1"/>
  <c r="G185" i="1"/>
  <c r="L250" i="10"/>
  <c r="E284" i="1"/>
  <c r="L264" i="10"/>
  <c r="E100" i="1"/>
  <c r="E172" i="1"/>
  <c r="E222" i="1"/>
  <c r="E185" i="1"/>
  <c r="E336" i="1"/>
  <c r="L249" i="10"/>
  <c r="G346" i="1"/>
  <c r="G184" i="1"/>
  <c r="N250" i="10"/>
  <c r="G154" i="1"/>
  <c r="G36" i="1"/>
  <c r="G149" i="1"/>
  <c r="G42" i="1"/>
  <c r="G289" i="1"/>
  <c r="G163" i="1"/>
  <c r="G115" i="1"/>
  <c r="N221" i="10"/>
  <c r="G235" i="1"/>
  <c r="G94" i="1"/>
  <c r="G33" i="1"/>
  <c r="G111" i="1"/>
  <c r="G345" i="1"/>
  <c r="G37" i="1"/>
  <c r="G102" i="1"/>
  <c r="G275" i="1"/>
  <c r="G117" i="1"/>
  <c r="G137" i="1"/>
  <c r="G155" i="1"/>
  <c r="G234" i="1"/>
  <c r="G297" i="1"/>
  <c r="G193" i="1"/>
  <c r="G171" i="1"/>
  <c r="G298" i="1"/>
  <c r="N209" i="10"/>
  <c r="G188" i="1"/>
  <c r="M207" i="10"/>
  <c r="G226" i="1"/>
  <c r="L133" i="10"/>
  <c r="L135" i="10"/>
  <c r="E175" i="1"/>
  <c r="L108" i="10"/>
  <c r="E347" i="1"/>
  <c r="E198" i="1"/>
  <c r="L134" i="10"/>
  <c r="E344" i="1"/>
  <c r="E326" i="1"/>
  <c r="E113" i="1"/>
  <c r="D32" i="26"/>
  <c r="K33" i="26"/>
  <c r="D33" i="26"/>
  <c r="D34" i="26"/>
  <c r="G265" i="1"/>
  <c r="M73" i="10"/>
  <c r="G271" i="1"/>
  <c r="G229" i="1"/>
  <c r="G118" i="1"/>
  <c r="G146" i="1"/>
  <c r="L74" i="10"/>
  <c r="G58" i="1"/>
  <c r="L64" i="10"/>
  <c r="L65" i="10"/>
  <c r="L59" i="10"/>
  <c r="E103" i="1"/>
  <c r="G12" i="1"/>
  <c r="M64" i="10"/>
  <c r="G11" i="1"/>
  <c r="G68" i="1"/>
  <c r="G40" i="1"/>
  <c r="N66" i="10"/>
  <c r="G103" i="1"/>
  <c r="G266" i="1"/>
  <c r="M57" i="10"/>
  <c r="E181" i="1"/>
  <c r="G181" i="1"/>
  <c r="F181" i="1"/>
  <c r="G273" i="1"/>
  <c r="L44" i="10"/>
  <c r="L33" i="10"/>
  <c r="L40" i="10"/>
  <c r="L31" i="10"/>
  <c r="E319" i="1"/>
  <c r="F319" i="1"/>
  <c r="L309" i="10"/>
  <c r="L16" i="10"/>
  <c r="M17" i="10"/>
  <c r="M15" i="10"/>
  <c r="N13" i="10"/>
  <c r="N301" i="10"/>
  <c r="L8" i="10"/>
  <c r="N9" i="10"/>
  <c r="E225" i="1"/>
  <c r="F225" i="1"/>
  <c r="M51" i="10"/>
  <c r="F196" i="1"/>
  <c r="F292" i="1"/>
  <c r="F272" i="1"/>
  <c r="F167" i="1"/>
  <c r="M59" i="10"/>
  <c r="F279" i="1"/>
  <c r="G167" i="1"/>
  <c r="L57" i="10"/>
  <c r="E292" i="1"/>
  <c r="N52" i="10"/>
  <c r="L58" i="10"/>
  <c r="G196" i="1"/>
  <c r="N59" i="10"/>
  <c r="G173" i="1"/>
  <c r="G292" i="1"/>
  <c r="G279" i="1"/>
  <c r="E86" i="1"/>
  <c r="L4" i="7"/>
  <c r="F206" i="1"/>
  <c r="Q3" i="31"/>
  <c r="G5" i="18"/>
  <c r="G6" i="18"/>
  <c r="G3" i="18"/>
  <c r="G4" i="28"/>
  <c r="F254" i="1"/>
  <c r="E4" i="26"/>
  <c r="E5" i="26"/>
  <c r="L12" i="10"/>
  <c r="L13" i="10"/>
  <c r="L9" i="10"/>
  <c r="M13" i="10"/>
  <c r="M11" i="10"/>
  <c r="M9" i="10"/>
  <c r="L11" i="10"/>
  <c r="N21" i="10"/>
  <c r="N17" i="10"/>
  <c r="E2" i="1"/>
  <c r="L51" i="10"/>
  <c r="L50" i="10"/>
  <c r="E147" i="1"/>
  <c r="E204" i="1"/>
  <c r="F204" i="1"/>
  <c r="L45" i="10"/>
  <c r="E309" i="1"/>
  <c r="E6" i="1"/>
  <c r="G104" i="1"/>
  <c r="G331" i="1"/>
  <c r="G32" i="1"/>
  <c r="G57" i="1"/>
  <c r="L147" i="10"/>
  <c r="G141" i="1"/>
  <c r="G79" i="1"/>
  <c r="G139" i="1"/>
  <c r="G96" i="1"/>
  <c r="G142" i="1"/>
  <c r="G41" i="1"/>
  <c r="G69" i="1"/>
  <c r="G238" i="1"/>
  <c r="N135" i="10"/>
  <c r="G179" i="1"/>
  <c r="G116" i="1"/>
  <c r="G295" i="1"/>
  <c r="G261" i="1"/>
  <c r="G192" i="1"/>
  <c r="G306" i="1"/>
  <c r="G287" i="1"/>
  <c r="N148" i="10"/>
  <c r="G169" i="1"/>
  <c r="G51" i="1"/>
  <c r="G303" i="1"/>
  <c r="G307" i="1"/>
  <c r="G53" i="1"/>
  <c r="G156" i="1"/>
  <c r="G305" i="1"/>
  <c r="G348" i="1"/>
  <c r="L170" i="10"/>
  <c r="G162" i="1"/>
  <c r="G241" i="1"/>
  <c r="G106" i="1"/>
  <c r="G221" i="1"/>
  <c r="G152" i="1"/>
  <c r="G269" i="1"/>
  <c r="G300" i="1"/>
  <c r="M169" i="10"/>
  <c r="G213" i="1"/>
  <c r="N171" i="10"/>
  <c r="Q7" i="13"/>
  <c r="R5" i="13"/>
  <c r="P11" i="13"/>
  <c r="Q9" i="13"/>
  <c r="Q11" i="13"/>
  <c r="O9" i="13"/>
  <c r="N11" i="13"/>
  <c r="G312" i="1"/>
  <c r="S9" i="13"/>
  <c r="N12" i="13"/>
  <c r="R11" i="13"/>
  <c r="M301" i="10"/>
  <c r="L7" i="10"/>
  <c r="M7" i="10"/>
  <c r="M14" i="7"/>
  <c r="L14" i="7"/>
  <c r="L292" i="10"/>
  <c r="N293" i="10"/>
  <c r="M291" i="10"/>
  <c r="L296" i="10"/>
  <c r="L293" i="10"/>
  <c r="F257" i="1"/>
  <c r="F259" i="1"/>
  <c r="R3" i="31"/>
  <c r="S5" i="31"/>
  <c r="F129" i="1"/>
  <c r="F25" i="1"/>
  <c r="F22" i="1"/>
  <c r="F28" i="1"/>
  <c r="L3" i="20"/>
  <c r="F19" i="1"/>
  <c r="M3" i="20"/>
  <c r="F23" i="1"/>
  <c r="F26" i="1"/>
  <c r="F17" i="1"/>
  <c r="M5" i="20"/>
  <c r="E101" i="1"/>
  <c r="E234" i="1"/>
  <c r="L220" i="10"/>
  <c r="E42" i="1"/>
  <c r="E194" i="1"/>
  <c r="E111" i="1"/>
  <c r="E289" i="1"/>
  <c r="E94" i="1"/>
  <c r="E235" i="1"/>
  <c r="E33" i="1"/>
  <c r="E138" i="1"/>
  <c r="E240" i="1"/>
  <c r="L209" i="10"/>
  <c r="E137" i="1"/>
  <c r="L221" i="10"/>
  <c r="E115" i="1"/>
  <c r="E102" i="1"/>
  <c r="E149" i="1"/>
  <c r="E14" i="1"/>
  <c r="E345" i="1"/>
  <c r="E37" i="1"/>
  <c r="M299" i="10"/>
  <c r="L299" i="10"/>
  <c r="M307" i="10"/>
  <c r="N305" i="10"/>
  <c r="L297" i="10"/>
  <c r="F145" i="1"/>
  <c r="F118" i="1"/>
  <c r="F229" i="1"/>
  <c r="F35" i="1"/>
  <c r="F265" i="1"/>
  <c r="G343" i="1"/>
  <c r="G267" i="1"/>
  <c r="G334" i="1"/>
  <c r="G180" i="1"/>
  <c r="G350" i="1"/>
  <c r="G223" i="1"/>
  <c r="G183" i="1"/>
  <c r="G105" i="1"/>
  <c r="G290" i="1"/>
  <c r="G228" i="1"/>
  <c r="E134" i="1"/>
  <c r="L3" i="29"/>
  <c r="L4" i="29"/>
  <c r="G320" i="1"/>
  <c r="G73" i="1"/>
  <c r="G70" i="1"/>
  <c r="G76" i="1"/>
  <c r="N5" i="20"/>
  <c r="E311" i="1"/>
  <c r="E92" i="1"/>
  <c r="N13" i="13"/>
  <c r="E312" i="1"/>
  <c r="F312" i="1"/>
  <c r="N9" i="13"/>
  <c r="Q5" i="13"/>
  <c r="P7" i="13"/>
  <c r="P5" i="13"/>
  <c r="O7" i="13"/>
  <c r="P9" i="13"/>
  <c r="F7" i="1"/>
  <c r="G54" i="1"/>
  <c r="G43" i="1"/>
  <c r="G322" i="1"/>
  <c r="F322" i="1"/>
  <c r="E146" i="1"/>
  <c r="L28" i="10"/>
  <c r="F90" i="1"/>
  <c r="F286" i="1"/>
  <c r="F336" i="1"/>
  <c r="N29" i="10"/>
  <c r="H14" i="17"/>
  <c r="H20" i="17"/>
  <c r="H25" i="17"/>
  <c r="H7" i="17"/>
  <c r="H9" i="17"/>
  <c r="H17" i="17"/>
  <c r="H12" i="17"/>
  <c r="L300" i="10"/>
  <c r="G286" i="1"/>
  <c r="G284" i="1"/>
  <c r="G336" i="1"/>
  <c r="G222" i="1"/>
  <c r="G100" i="1"/>
  <c r="G172" i="1"/>
  <c r="L263" i="10"/>
  <c r="G310" i="1"/>
  <c r="F310" i="1"/>
  <c r="R3" i="13"/>
  <c r="E351" i="1"/>
  <c r="P21" i="13"/>
  <c r="N24" i="13"/>
  <c r="G92" i="1"/>
  <c r="G311" i="1"/>
  <c r="F311" i="1"/>
  <c r="R15" i="13"/>
  <c r="N16" i="13"/>
  <c r="S13" i="13"/>
  <c r="G215" i="1"/>
  <c r="G216" i="1"/>
  <c r="E216" i="1"/>
  <c r="F216" i="1"/>
  <c r="S17" i="13"/>
  <c r="N20" i="13"/>
  <c r="R19" i="13"/>
  <c r="G4" i="22"/>
  <c r="G5" i="22"/>
  <c r="M195" i="10"/>
  <c r="F267" i="1"/>
  <c r="F350" i="1"/>
  <c r="G164" i="1"/>
  <c r="E35" i="1"/>
  <c r="E118" i="1"/>
  <c r="M192" i="10"/>
  <c r="M66" i="10"/>
  <c r="F12" i="1"/>
  <c r="F11" i="1"/>
  <c r="F228" i="1"/>
  <c r="F334" i="1"/>
  <c r="M248" i="10"/>
  <c r="G107" i="1"/>
  <c r="G339" i="1"/>
  <c r="E58" i="1"/>
  <c r="E145" i="1"/>
  <c r="M43" i="10"/>
  <c r="G291" i="1"/>
  <c r="F291" i="1"/>
  <c r="F222" i="1"/>
  <c r="F185" i="1"/>
  <c r="N313" i="10"/>
  <c r="L73" i="10"/>
  <c r="L66" i="10"/>
  <c r="E3" i="1"/>
  <c r="G232" i="1"/>
  <c r="N309" i="10"/>
  <c r="L312" i="10"/>
  <c r="H8" i="17"/>
  <c r="F44" i="1"/>
  <c r="F164" i="1"/>
  <c r="F337" i="1"/>
  <c r="F154" i="1"/>
  <c r="F339" i="1"/>
  <c r="F346" i="1"/>
  <c r="F184" i="1"/>
  <c r="E148" i="1"/>
  <c r="L273" i="10"/>
  <c r="E165" i="1"/>
  <c r="E189" i="1"/>
  <c r="E60" i="1"/>
  <c r="E153" i="1"/>
  <c r="N4" i="13"/>
  <c r="R9" i="13"/>
  <c r="G326" i="1"/>
  <c r="E20" i="17"/>
  <c r="E14" i="17"/>
  <c r="O13" i="13"/>
  <c r="E29" i="1"/>
  <c r="G29" i="1"/>
  <c r="F29" i="1"/>
  <c r="N5" i="13"/>
  <c r="R7" i="13"/>
  <c r="S5" i="13"/>
  <c r="N8" i="13"/>
  <c r="O15" i="13"/>
  <c r="O5" i="31"/>
  <c r="O4" i="31"/>
  <c r="E208" i="1"/>
  <c r="Q11" i="31"/>
  <c r="R9" i="31"/>
  <c r="E215" i="1"/>
  <c r="F215" i="1"/>
  <c r="P17" i="13"/>
  <c r="G351" i="1"/>
  <c r="S21" i="13"/>
  <c r="P3" i="13"/>
  <c r="N7" i="13"/>
  <c r="Q13" i="13"/>
  <c r="P15" i="13"/>
  <c r="O3" i="31"/>
  <c r="P3" i="31"/>
  <c r="E7" i="17"/>
  <c r="N15" i="13"/>
  <c r="Q3" i="13"/>
  <c r="O11" i="13"/>
  <c r="Q13" i="31"/>
  <c r="Q9" i="31"/>
  <c r="S3" i="31"/>
  <c r="G208" i="1"/>
  <c r="O11" i="31"/>
  <c r="P13" i="31"/>
  <c r="P9" i="31"/>
  <c r="R11" i="31"/>
  <c r="S13" i="31"/>
  <c r="S9" i="31"/>
  <c r="E211" i="1"/>
  <c r="O13" i="31"/>
  <c r="O9" i="31"/>
  <c r="O7" i="31"/>
  <c r="P5" i="31"/>
  <c r="S7" i="31"/>
  <c r="T5" i="31"/>
  <c r="R15" i="31"/>
  <c r="Q15" i="31"/>
  <c r="O19" i="31"/>
  <c r="P21" i="31"/>
  <c r="P17" i="31"/>
  <c r="S19" i="31"/>
  <c r="G212" i="1"/>
  <c r="F212" i="1"/>
  <c r="T21" i="31"/>
  <c r="T17" i="31"/>
  <c r="R23" i="31"/>
  <c r="Q23" i="31"/>
  <c r="O27" i="31"/>
  <c r="P29" i="31"/>
  <c r="P25" i="31"/>
  <c r="G313" i="1"/>
  <c r="F313" i="1"/>
  <c r="S27" i="31"/>
  <c r="T29" i="31"/>
  <c r="T25" i="31"/>
  <c r="R31" i="31"/>
  <c r="Q31" i="31"/>
  <c r="O35" i="31"/>
  <c r="P37" i="31"/>
  <c r="P33" i="31"/>
  <c r="S35" i="31"/>
  <c r="G315" i="1"/>
  <c r="F315" i="1"/>
  <c r="T37" i="31"/>
  <c r="T33" i="31"/>
  <c r="I36" i="31"/>
  <c r="I37" i="31"/>
  <c r="G218" i="1"/>
  <c r="F218" i="1"/>
  <c r="R39" i="31"/>
  <c r="R41" i="31"/>
  <c r="Q39" i="31"/>
  <c r="P41" i="31"/>
  <c r="E45" i="31"/>
  <c r="P43" i="31"/>
  <c r="T41" i="31"/>
  <c r="I45" i="31"/>
  <c r="O44" i="31"/>
  <c r="E199" i="1"/>
  <c r="F199" i="1"/>
  <c r="E63" i="1"/>
  <c r="F63" i="1"/>
  <c r="F4" i="33"/>
  <c r="F5" i="33"/>
  <c r="F157" i="1"/>
  <c r="L3" i="33"/>
  <c r="M3" i="33"/>
  <c r="G52" i="1"/>
  <c r="G8" i="33"/>
  <c r="G9" i="33"/>
  <c r="G242" i="1"/>
  <c r="G49" i="1"/>
  <c r="S11" i="31"/>
  <c r="G211" i="1"/>
  <c r="T13" i="31"/>
  <c r="T9" i="31"/>
  <c r="E4" i="36"/>
  <c r="E5" i="36"/>
  <c r="F250" i="1"/>
  <c r="F127" i="1"/>
  <c r="F66" i="1"/>
  <c r="F160" i="1"/>
  <c r="F128" i="1"/>
  <c r="F219" i="1"/>
  <c r="F159" i="1"/>
  <c r="F214" i="1"/>
  <c r="K3" i="26"/>
  <c r="E317" i="1"/>
  <c r="F317" i="1"/>
  <c r="L4" i="10"/>
  <c r="F6" i="1"/>
  <c r="L5" i="10"/>
  <c r="F309" i="1"/>
  <c r="F287" i="10"/>
  <c r="F289" i="10"/>
  <c r="N285" i="10"/>
  <c r="L3" i="10"/>
  <c r="F5" i="10"/>
  <c r="N5" i="10"/>
  <c r="L291" i="10"/>
  <c r="F285" i="10"/>
  <c r="F283" i="10"/>
  <c r="M295" i="10"/>
  <c r="M293" i="10"/>
  <c r="M297" i="10"/>
  <c r="F351" i="1"/>
  <c r="F4" i="26"/>
  <c r="F5" i="26"/>
  <c r="F211" i="1"/>
  <c r="G3" i="28"/>
  <c r="G5" i="28"/>
  <c r="M3" i="18"/>
  <c r="L4" i="18"/>
  <c r="G120" i="1"/>
  <c r="F208" i="1"/>
  <c r="M289" i="10"/>
  <c r="L287" i="10"/>
  <c r="M287" i="10"/>
  <c r="L283" i="10"/>
  <c r="M285" i="10"/>
  <c r="M5" i="10"/>
  <c r="M283" i="10"/>
  <c r="L4" i="28"/>
  <c r="G119" i="1"/>
  <c r="M3" i="28"/>
  <c r="R3" i="16"/>
  <c r="I8" i="17"/>
  <c r="I25" i="17"/>
  <c r="J17" i="17"/>
  <c r="J20" i="17"/>
  <c r="F12" i="17"/>
  <c r="J8" i="17"/>
  <c r="F8" i="17"/>
  <c r="F17" i="17"/>
  <c r="F14" i="17"/>
  <c r="J13" i="17"/>
  <c r="J12" i="17"/>
  <c r="F25" i="17"/>
  <c r="F7" i="17"/>
  <c r="F20" i="17"/>
  <c r="G5" i="16"/>
  <c r="P3" i="16"/>
  <c r="J7" i="17"/>
  <c r="J9" i="17"/>
  <c r="F13" i="17"/>
  <c r="F273" i="1"/>
  <c r="F324" i="1"/>
  <c r="F290" i="1"/>
  <c r="F39" i="1"/>
  <c r="F4" i="1"/>
  <c r="F2" i="1"/>
  <c r="F239" i="1"/>
  <c r="F147" i="1"/>
  <c r="F325" i="1"/>
  <c r="F224" i="1"/>
  <c r="F3" i="1"/>
  <c r="F92" i="1"/>
  <c r="F36" i="1"/>
  <c r="L32" i="26"/>
  <c r="G254" i="1"/>
  <c r="K4" i="26"/>
  <c r="L5" i="26"/>
  <c r="E254" i="1"/>
  <c r="K5" i="26"/>
  <c r="K32" i="26"/>
  <c r="M5" i="26"/>
  <c r="G7" i="7"/>
  <c r="G72" i="1"/>
  <c r="N9" i="7"/>
  <c r="E47" i="1"/>
  <c r="E45" i="1"/>
  <c r="E125" i="1"/>
  <c r="G47" i="1"/>
  <c r="E87" i="1"/>
  <c r="E21" i="7"/>
  <c r="E72" i="1"/>
  <c r="F72" i="1"/>
  <c r="F22" i="7"/>
  <c r="E84" i="1"/>
  <c r="G46" i="1"/>
  <c r="E88" i="1"/>
  <c r="G23" i="7"/>
  <c r="G86" i="1"/>
  <c r="F86" i="1"/>
  <c r="E46" i="1"/>
  <c r="F4" i="7"/>
  <c r="E3" i="7"/>
  <c r="G83" i="1"/>
  <c r="L5" i="7"/>
  <c r="E83" i="1"/>
  <c r="L8" i="7"/>
  <c r="F8" i="7"/>
  <c r="L9" i="7"/>
  <c r="L22" i="7"/>
  <c r="F83" i="1"/>
  <c r="F47" i="1"/>
  <c r="N5" i="7"/>
  <c r="G125" i="1"/>
  <c r="F125" i="1"/>
  <c r="G88" i="1"/>
  <c r="F88" i="1"/>
  <c r="G45" i="1"/>
  <c r="F45" i="1"/>
  <c r="G87" i="1"/>
  <c r="F87" i="1"/>
  <c r="G84" i="1"/>
  <c r="F84" i="1"/>
  <c r="G81" i="1"/>
  <c r="F81" i="1"/>
  <c r="F3" i="7"/>
  <c r="F5" i="7"/>
  <c r="F23" i="7"/>
  <c r="F21" i="7"/>
  <c r="F46" i="1"/>
  <c r="F9" i="7"/>
  <c r="F7" i="7"/>
  <c r="M7" i="7"/>
  <c r="L7" i="7"/>
  <c r="M5" i="7"/>
  <c r="M21" i="7"/>
  <c r="M9" i="7"/>
  <c r="L21" i="7"/>
</calcChain>
</file>

<file path=xl/sharedStrings.xml><?xml version="1.0" encoding="utf-8"?>
<sst xmlns="http://schemas.openxmlformats.org/spreadsheetml/2006/main" count="3163" uniqueCount="1164">
  <si>
    <t>TITLE CODE</t>
  </si>
  <si>
    <t>JOB TITLE</t>
  </si>
  <si>
    <t>STEP</t>
  </si>
  <si>
    <t>MAINTENANCE WORKER</t>
  </si>
  <si>
    <t>METER READER</t>
  </si>
  <si>
    <t>METER REPAIR SPECIALIST</t>
  </si>
  <si>
    <t>SKILLED WORKER</t>
  </si>
  <si>
    <t>LEAD WORKER</t>
  </si>
  <si>
    <t>TECHNICAL SPECIALIST</t>
  </si>
  <si>
    <t>CREW LEADER</t>
  </si>
  <si>
    <t>MONTHLY</t>
  </si>
  <si>
    <t>HOURLY</t>
  </si>
  <si>
    <t>POLICE SUPPORT OFFICER</t>
  </si>
  <si>
    <t>COUNCIL MEMBER</t>
  </si>
  <si>
    <t>MAYOR</t>
  </si>
  <si>
    <t>CHIEF INFORMATION OFFICER</t>
  </si>
  <si>
    <t>FIRE CHIEF</t>
  </si>
  <si>
    <t>CITY ATTORNEY</t>
  </si>
  <si>
    <t>DEPUTY CITY MANAGER</t>
  </si>
  <si>
    <t>ASST FIRE TRAINING COORDINATOR</t>
  </si>
  <si>
    <t>ENGINEERING AIDE</t>
  </si>
  <si>
    <t>PARK PATROL OFFICER</t>
  </si>
  <si>
    <t>ACCOUNTING ASSISTANT</t>
  </si>
  <si>
    <t>BUYER</t>
  </si>
  <si>
    <t>ADMINISTRATIVE ASSISTANT</t>
  </si>
  <si>
    <t>CODE COMPLIANCE OFFICER</t>
  </si>
  <si>
    <t>PARALEGAL</t>
  </si>
  <si>
    <t>PROGRAM ADMINISTRATOR</t>
  </si>
  <si>
    <t>INSPECTOR</t>
  </si>
  <si>
    <t>COMBINATION INSPECTOR</t>
  </si>
  <si>
    <t>PLANS EXAMINER</t>
  </si>
  <si>
    <t>STRUCTURAL PLANS EXAMINER</t>
  </si>
  <si>
    <t>SIGNAL ELECTRICIAN</t>
  </si>
  <si>
    <t>POLICE CAPTAIN</t>
  </si>
  <si>
    <t>POLICE MAJOR</t>
  </si>
  <si>
    <t>FIRE MARSHAL</t>
  </si>
  <si>
    <t>POLICE OFFICER</t>
  </si>
  <si>
    <t>CITY MANAGER</t>
  </si>
  <si>
    <t>ASSOCIATE PLANNER</t>
  </si>
  <si>
    <t>CONTRACT ADMINISTRATOR</t>
  </si>
  <si>
    <t>DEPUTY CITY CLERK</t>
  </si>
  <si>
    <t>FACILITIES OPERATIONS SPECIALIST</t>
  </si>
  <si>
    <t>POLICE RECORDS SUPERVISOR</t>
  </si>
  <si>
    <t>SYSTEMS ANALYST</t>
  </si>
  <si>
    <t>INSPECTION SUPERVISOR</t>
  </si>
  <si>
    <t>CODE COMPLIANCE SUPERVISOR</t>
  </si>
  <si>
    <t>PROBATION MANAGER</t>
  </si>
  <si>
    <t>SENIOR PLANNER</t>
  </si>
  <si>
    <t>SENIOR REAL PROPERTY AGENT</t>
  </si>
  <si>
    <t>SURVEY MANAGER</t>
  </si>
  <si>
    <t>ENVIRONMENTAL SCIENTIST</t>
  </si>
  <si>
    <t>FISCAL MANAGER</t>
  </si>
  <si>
    <t>PARKS RESOURCE MANAGER</t>
  </si>
  <si>
    <t>DEPUTY CITY ATTORNEY</t>
  </si>
  <si>
    <t>SUPERVISING ATTORNEY</t>
  </si>
  <si>
    <t>DEPUTY FIRE CHIEF</t>
  </si>
  <si>
    <t>24-HR HRLY</t>
  </si>
  <si>
    <t>DEPUTY MAYOR</t>
  </si>
  <si>
    <t>C03</t>
  </si>
  <si>
    <t>F01</t>
  </si>
  <si>
    <t>F03</t>
  </si>
  <si>
    <t>G01</t>
  </si>
  <si>
    <t>G13</t>
  </si>
  <si>
    <t>G16</t>
  </si>
  <si>
    <t>G18</t>
  </si>
  <si>
    <t>G21</t>
  </si>
  <si>
    <t>G22</t>
  </si>
  <si>
    <t>G23</t>
  </si>
  <si>
    <t>G24</t>
  </si>
  <si>
    <t>G25</t>
  </si>
  <si>
    <t>G27</t>
  </si>
  <si>
    <t>G28</t>
  </si>
  <si>
    <t>G29</t>
  </si>
  <si>
    <t>G30</t>
  </si>
  <si>
    <t>G31</t>
  </si>
  <si>
    <t>G32</t>
  </si>
  <si>
    <t>G33</t>
  </si>
  <si>
    <t>H01</t>
  </si>
  <si>
    <t>H03</t>
  </si>
  <si>
    <t>H05</t>
  </si>
  <si>
    <t>J01</t>
  </si>
  <si>
    <t>J02</t>
  </si>
  <si>
    <t>K01</t>
  </si>
  <si>
    <t>L01</t>
  </si>
  <si>
    <t>R01</t>
  </si>
  <si>
    <t>R02</t>
  </si>
  <si>
    <t>R03</t>
  </si>
  <si>
    <t>T01</t>
  </si>
  <si>
    <t>*</t>
  </si>
  <si>
    <t>P10</t>
  </si>
  <si>
    <t>P60</t>
  </si>
  <si>
    <t>CLEARING &amp; GRADING REVIEWER</t>
  </si>
  <si>
    <t>G14</t>
  </si>
  <si>
    <t>OFFICE ASSISTANT</t>
  </si>
  <si>
    <t>ACCOUNTING ASSOCIATE</t>
  </si>
  <si>
    <t>CUSTOMER SERVICE REPRESENTATIVE</t>
  </si>
  <si>
    <t>SENIOR OFFICE ASSISTANT</t>
  </si>
  <si>
    <t>PERMIT PROCESSING TECHNICIAN</t>
  </si>
  <si>
    <t>SENIOR ACCOUNTING ASSOCIATE</t>
  </si>
  <si>
    <t>G19</t>
  </si>
  <si>
    <t>HUMAN RESOURCES ASSISTANT</t>
  </si>
  <si>
    <t xml:space="preserve">LEGAL SECRETARY </t>
  </si>
  <si>
    <t>G20</t>
  </si>
  <si>
    <t>PUBLIC RECORDS ANALYST</t>
  </si>
  <si>
    <t>SENIOR ADMINISTRATIVE ASSISTANT</t>
  </si>
  <si>
    <t>ASSISTANT LAND USE PROFESSIONAL</t>
  </si>
  <si>
    <t>ASSISTANT PLANNER</t>
  </si>
  <si>
    <t>DATA ANALYST</t>
  </si>
  <si>
    <t>ENGINEERING TECHNICIAN</t>
  </si>
  <si>
    <t>EXECUTIVE ASSISTANT TO CITY MANAGER</t>
  </si>
  <si>
    <t>EXECUTIVE ASSISTANT TO CITY COUNCIL</t>
  </si>
  <si>
    <t>PROCUREMENT SPECIALIST</t>
  </si>
  <si>
    <t>BUDGET ANALYST</t>
  </si>
  <si>
    <t>PROBATION OFFICER</t>
  </si>
  <si>
    <t>ADMINISTRATIVE SERVICES SUPERVISOR</t>
  </si>
  <si>
    <t>HEARING EXAMINER OFFICE ADMINISTRATOR</t>
  </si>
  <si>
    <t>PARK RANGER</t>
  </si>
  <si>
    <t>PROPERTY EVIDENCE SUPERVISOR</t>
  </si>
  <si>
    <t>REAL PROPERTY AGENT</t>
  </si>
  <si>
    <t>RECREATION PROGRAM COORDINATOR</t>
  </si>
  <si>
    <t>VOLUNTEER PROGRAM COORDINATOR</t>
  </si>
  <si>
    <t>FIRE PLAN REVIEWER</t>
  </si>
  <si>
    <t>ASSOCIATE LAND USE PROFESSIONAL</t>
  </si>
  <si>
    <t>SENIOR ENGINEERING TECHNICIAN</t>
  </si>
  <si>
    <t>TELEMETRY TECHNICIAN</t>
  </si>
  <si>
    <t>ACCOUNTING SUPERVISOR</t>
  </si>
  <si>
    <t>SENIOR BUDGET ANALYST</t>
  </si>
  <si>
    <t>FINANCIAL ANALYST</t>
  </si>
  <si>
    <t>OPERATIONS SUPERVISOR</t>
  </si>
  <si>
    <t>RECREATION SUPERVISOR</t>
  </si>
  <si>
    <t>RISK MANAGEMENT SPECIALIST</t>
  </si>
  <si>
    <t>COMMUNITY RELATIONS COORDINATOR</t>
  </si>
  <si>
    <t>HUMAN SERVICES COORDINATOR</t>
  </si>
  <si>
    <t>ENGINEER, TRANSPORTATION</t>
  </si>
  <si>
    <t>ENGINEER, UTILITIES</t>
  </si>
  <si>
    <t>PUBLIC RECORDS MANAGER</t>
  </si>
  <si>
    <t>UTILITIES SUPERINTENDENT</t>
  </si>
  <si>
    <t>FACILITIES PLANNING COORDINATOR</t>
  </si>
  <si>
    <t>COMMUNICATIONS SUPERVISOR</t>
  </si>
  <si>
    <t>PROFESSIONAL LAND SURVEYOR</t>
  </si>
  <si>
    <t>FINANCE DIVISION ASSISTANT MANAGER</t>
  </si>
  <si>
    <t>SENIOR FACILITIES PLANNING COORDINATOR</t>
  </si>
  <si>
    <t>COMMUNITY SERVICES SUPERVISOR</t>
  </si>
  <si>
    <t>DEPARTMENT PUBLIC INFORMATION OFFICER</t>
  </si>
  <si>
    <t>G26</t>
  </si>
  <si>
    <t>PROGRAM MANAGER</t>
  </si>
  <si>
    <t>HUMAN SERVICES MANAGER</t>
  </si>
  <si>
    <t>ASSISTANT FIRE MARSHAL</t>
  </si>
  <si>
    <t>PLANS EXAMINATION SUPERVISOR</t>
  </si>
  <si>
    <t>RIGHT OF WAY SUPERVISOR</t>
  </si>
  <si>
    <t>SENIOR LAND USE PROFESSIONAL</t>
  </si>
  <si>
    <t>SENIOR ENGINEER, TRANSPORTATION</t>
  </si>
  <si>
    <t>SENIOR ENGINEER, UTILITIES</t>
  </si>
  <si>
    <t>WATER QUALITY SUPERVISOR</t>
  </si>
  <si>
    <t>OPERATIONS MANAGER</t>
  </si>
  <si>
    <t>ENGINEERING SUPERVISOR, UTILITIES</t>
  </si>
  <si>
    <t>BUSINESS MANAGER</t>
  </si>
  <si>
    <t>COMPENSATION &amp; BENEFITS MANAGER</t>
  </si>
  <si>
    <t>FINANCE DIVISION MANAGER</t>
  </si>
  <si>
    <t>FACILITIES PLANNING MANAGER</t>
  </si>
  <si>
    <t>PLANNING MANAGER</t>
  </si>
  <si>
    <t>TRANSPORTATION FORECASTING MANAGER</t>
  </si>
  <si>
    <t>UTILITIES POLICY ADVISOR</t>
  </si>
  <si>
    <t>TRANSPORTATION POLICY ADVISOR</t>
  </si>
  <si>
    <t>COMMUNICATIONS MANAGER</t>
  </si>
  <si>
    <t>ENGINEERING MANAGER, TRANSPORTATION</t>
  </si>
  <si>
    <t>ENGINEERING MANAGER, UTILITIES</t>
  </si>
  <si>
    <t>CONSULTING ATTORNEY</t>
  </si>
  <si>
    <t>SENIOR ATTORNEY</t>
  </si>
  <si>
    <t>M01</t>
  </si>
  <si>
    <t>M02</t>
  </si>
  <si>
    <t>CHIEF OF POLICE</t>
  </si>
  <si>
    <t>G10</t>
  </si>
  <si>
    <t>G07</t>
  </si>
  <si>
    <t>G08</t>
  </si>
  <si>
    <t>G09</t>
  </si>
  <si>
    <t>RECREATION PROGRAM AIDE</t>
  </si>
  <si>
    <t>S24</t>
  </si>
  <si>
    <t>S25</t>
  </si>
  <si>
    <t>OFFICE CLERK</t>
  </si>
  <si>
    <t>ANG301</t>
  </si>
  <si>
    <t>ANG607</t>
  </si>
  <si>
    <t>ENG301</t>
  </si>
  <si>
    <t>RNG801</t>
  </si>
  <si>
    <t>ANG302</t>
  </si>
  <si>
    <t>RNG301</t>
  </si>
  <si>
    <t>ANG605</t>
  </si>
  <si>
    <t>ANG303</t>
  </si>
  <si>
    <t>BNG601</t>
  </si>
  <si>
    <t>BNG501</t>
  </si>
  <si>
    <t>ANG501</t>
  </si>
  <si>
    <t>ANG606</t>
  </si>
  <si>
    <t>DNG502</t>
  </si>
  <si>
    <t>BNG502</t>
  </si>
  <si>
    <t>ANG601</t>
  </si>
  <si>
    <t>HNG501</t>
  </si>
  <si>
    <t>LNG601</t>
  </si>
  <si>
    <t>ENG305</t>
  </si>
  <si>
    <t>ANG504</t>
  </si>
  <si>
    <t>ANG602</t>
  </si>
  <si>
    <t>RNG211</t>
  </si>
  <si>
    <t>DNG501</t>
  </si>
  <si>
    <t>DNG503</t>
  </si>
  <si>
    <t>BNG503</t>
  </si>
  <si>
    <t>ING301</t>
  </si>
  <si>
    <t>SNG201</t>
  </si>
  <si>
    <t>ENG302</t>
  </si>
  <si>
    <t>ANG502</t>
  </si>
  <si>
    <t>ANG503</t>
  </si>
  <si>
    <t>LNG204</t>
  </si>
  <si>
    <t>BNG504</t>
  </si>
  <si>
    <t>BNG203</t>
  </si>
  <si>
    <t>HNG203</t>
  </si>
  <si>
    <t>SNG203</t>
  </si>
  <si>
    <t>ENG306</t>
  </si>
  <si>
    <t>ANG202</t>
  </si>
  <si>
    <t>GNG202</t>
  </si>
  <si>
    <t>ANG206</t>
  </si>
  <si>
    <t>ANG207</t>
  </si>
  <si>
    <t>RNG207</t>
  </si>
  <si>
    <t>PNG301</t>
  </si>
  <si>
    <t>DNG215</t>
  </si>
  <si>
    <t>RNG209</t>
  </si>
  <si>
    <t>GNG207</t>
  </si>
  <si>
    <t>BNG202</t>
  </si>
  <si>
    <t>DNG209</t>
  </si>
  <si>
    <t>DNG211</t>
  </si>
  <si>
    <t>HNG201</t>
  </si>
  <si>
    <t>ING201</t>
  </si>
  <si>
    <t>JNG301</t>
  </si>
  <si>
    <t>GNG201</t>
  </si>
  <si>
    <t>RNG203</t>
  </si>
  <si>
    <t>JNG302</t>
  </si>
  <si>
    <t>ANG203</t>
  </si>
  <si>
    <t>ANG205</t>
  </si>
  <si>
    <t>BNG208</t>
  </si>
  <si>
    <t>FNG301</t>
  </si>
  <si>
    <t>DNG207</t>
  </si>
  <si>
    <t>MNG204</t>
  </si>
  <si>
    <t>PNS202</t>
  </si>
  <si>
    <t>SNG204</t>
  </si>
  <si>
    <t>ANG208</t>
  </si>
  <si>
    <t>RNG210</t>
  </si>
  <si>
    <t>BNG204</t>
  </si>
  <si>
    <t>ENG208</t>
  </si>
  <si>
    <t>ENG308</t>
  </si>
  <si>
    <t>LNG201</t>
  </si>
  <si>
    <t>PNS201</t>
  </si>
  <si>
    <t>ENG201</t>
  </si>
  <si>
    <t>ENG203</t>
  </si>
  <si>
    <t>DNG204</t>
  </si>
  <si>
    <t>ANG210</t>
  </si>
  <si>
    <t>ENG307</t>
  </si>
  <si>
    <t>ING211</t>
  </si>
  <si>
    <t>MNG207</t>
  </si>
  <si>
    <t>DNG201</t>
  </si>
  <si>
    <t>RNG204</t>
  </si>
  <si>
    <t>GNG205</t>
  </si>
  <si>
    <t>BNG206</t>
  </si>
  <si>
    <t>ENG304</t>
  </si>
  <si>
    <t>DNG205</t>
  </si>
  <si>
    <t>FNG201</t>
  </si>
  <si>
    <t>JNG201</t>
  </si>
  <si>
    <t>ENG303</t>
  </si>
  <si>
    <t>DNG208</t>
  </si>
  <si>
    <t>JNG202</t>
  </si>
  <si>
    <t>JNG203</t>
  </si>
  <si>
    <t>ANG209</t>
  </si>
  <si>
    <t>DNG217</t>
  </si>
  <si>
    <t>DNG210</t>
  </si>
  <si>
    <t>DNG212</t>
  </si>
  <si>
    <t>DNG216</t>
  </si>
  <si>
    <t>ANG201</t>
  </si>
  <si>
    <t>ENG202</t>
  </si>
  <si>
    <t>ENG204</t>
  </si>
  <si>
    <t>HNG205</t>
  </si>
  <si>
    <t>ENG211</t>
  </si>
  <si>
    <t>LNG202</t>
  </si>
  <si>
    <t>MNG201</t>
  </si>
  <si>
    <t>MNG203</t>
  </si>
  <si>
    <t>RNG208</t>
  </si>
  <si>
    <t>ENG210</t>
  </si>
  <si>
    <t>BNG205</t>
  </si>
  <si>
    <t>DNG202</t>
  </si>
  <si>
    <t>HNG202</t>
  </si>
  <si>
    <t>ENG207</t>
  </si>
  <si>
    <t>DNG206</t>
  </si>
  <si>
    <t>BNG207</t>
  </si>
  <si>
    <t>BNG210</t>
  </si>
  <si>
    <t>MNG205</t>
  </si>
  <si>
    <t>DNG213</t>
  </si>
  <si>
    <t>GNG204</t>
  </si>
  <si>
    <t>PNG202</t>
  </si>
  <si>
    <t>ING209</t>
  </si>
  <si>
    <t>DNG219</t>
  </si>
  <si>
    <t>DNG220</t>
  </si>
  <si>
    <t>DNG221</t>
  </si>
  <si>
    <t>LNG203</t>
  </si>
  <si>
    <t>ENG205</t>
  </si>
  <si>
    <t>ENG206</t>
  </si>
  <si>
    <t>LNG205</t>
  </si>
  <si>
    <t>ING208</t>
  </si>
  <si>
    <t>MRB704</t>
  </si>
  <si>
    <t>MRB801</t>
  </si>
  <si>
    <t>MRB804</t>
  </si>
  <si>
    <t>MRB805</t>
  </si>
  <si>
    <t>MRB802</t>
  </si>
  <si>
    <t>MRB806</t>
  </si>
  <si>
    <t>MRB706</t>
  </si>
  <si>
    <t>MRB707</t>
  </si>
  <si>
    <t>MRB803</t>
  </si>
  <si>
    <t>MRB702</t>
  </si>
  <si>
    <t>MRB708</t>
  </si>
  <si>
    <t>MRB709</t>
  </si>
  <si>
    <t>MRB703</t>
  </si>
  <si>
    <t>MRB705</t>
  </si>
  <si>
    <t>MRB701</t>
  </si>
  <si>
    <t>CNC101</t>
  </si>
  <si>
    <t>CNC103</t>
  </si>
  <si>
    <t>CNC102</t>
  </si>
  <si>
    <t>PRD609</t>
  </si>
  <si>
    <t>PRD603</t>
  </si>
  <si>
    <t>PRD401</t>
  </si>
  <si>
    <t>PRD604</t>
  </si>
  <si>
    <t>PRD610</t>
  </si>
  <si>
    <t>PRD602</t>
  </si>
  <si>
    <t>PRD201</t>
  </si>
  <si>
    <t>PRD301</t>
  </si>
  <si>
    <t>INE101</t>
  </si>
  <si>
    <t>RNE101</t>
  </si>
  <si>
    <t>PNE101</t>
  </si>
  <si>
    <t>LNE101</t>
  </si>
  <si>
    <t>ENE101</t>
  </si>
  <si>
    <t>ENE102</t>
  </si>
  <si>
    <t>FNE101</t>
  </si>
  <si>
    <t>XNE102</t>
  </si>
  <si>
    <t>FRF401</t>
  </si>
  <si>
    <t>FRF403</t>
  </si>
  <si>
    <t>FRF402</t>
  </si>
  <si>
    <t>FRF405</t>
  </si>
  <si>
    <t>FRF201</t>
  </si>
  <si>
    <t>FRF404</t>
  </si>
  <si>
    <t>FRF202</t>
  </si>
  <si>
    <t>JRH201</t>
  </si>
  <si>
    <t>JRH302</t>
  </si>
  <si>
    <t>JRH301</t>
  </si>
  <si>
    <t>JRH303</t>
  </si>
  <si>
    <t>JRH202</t>
  </si>
  <si>
    <t>MRI302</t>
  </si>
  <si>
    <t>MRI701</t>
  </si>
  <si>
    <t>MRI801</t>
  </si>
  <si>
    <t>MRI301</t>
  </si>
  <si>
    <t>MRI303</t>
  </si>
  <si>
    <t>MRI702</t>
  </si>
  <si>
    <t>PRJ201</t>
  </si>
  <si>
    <t>PRJ202</t>
  </si>
  <si>
    <t>FNL201</t>
  </si>
  <si>
    <t>FNU201</t>
  </si>
  <si>
    <t>FRN401</t>
  </si>
  <si>
    <t>FRN402</t>
  </si>
  <si>
    <t>XNE101</t>
  </si>
  <si>
    <t>PRP402</t>
  </si>
  <si>
    <t>PRP401</t>
  </si>
  <si>
    <t>BNM201</t>
  </si>
  <si>
    <t>RNM201</t>
  </si>
  <si>
    <t>ENM201</t>
  </si>
  <si>
    <t>ENM202</t>
  </si>
  <si>
    <t>INM201</t>
  </si>
  <si>
    <t>LNM201</t>
  </si>
  <si>
    <t>ENM203</t>
  </si>
  <si>
    <t>FNM201</t>
  </si>
  <si>
    <t>PNM201</t>
  </si>
  <si>
    <t>LNM202</t>
  </si>
  <si>
    <t>RNR701</t>
  </si>
  <si>
    <t>RNR702</t>
  </si>
  <si>
    <t>RNR703</t>
  </si>
  <si>
    <t>MIN</t>
  </si>
  <si>
    <t>MAX</t>
  </si>
  <si>
    <t>MID</t>
  </si>
  <si>
    <t>RNG303</t>
  </si>
  <si>
    <t>RECREATION PROGRAM TECHNICIAN</t>
  </si>
  <si>
    <t>HOME LOAN REPAIR SPECIALIST</t>
  </si>
  <si>
    <t>RNG503</t>
  </si>
  <si>
    <t>HNE101</t>
  </si>
  <si>
    <t>BUSINESS PROCESS ANALYST</t>
  </si>
  <si>
    <t>FACILITIES MANAGER</t>
  </si>
  <si>
    <t>N/A</t>
  </si>
  <si>
    <t>SNG202</t>
  </si>
  <si>
    <t>MNG701</t>
  </si>
  <si>
    <t>U01</t>
  </si>
  <si>
    <t>I01</t>
  </si>
  <si>
    <t>I02</t>
  </si>
  <si>
    <t>I03</t>
  </si>
  <si>
    <t>I04</t>
  </si>
  <si>
    <t>I05</t>
  </si>
  <si>
    <t>MRI304</t>
  </si>
  <si>
    <t>MRI305</t>
  </si>
  <si>
    <t>I06</t>
  </si>
  <si>
    <t>MASTER SIGNAL ELECTRICIAN</t>
  </si>
  <si>
    <t>HUMAN RESOURCES ANALYST</t>
  </si>
  <si>
    <t>HNG206</t>
  </si>
  <si>
    <t>SENIOR HUMAN RESOURCES ANALYST</t>
  </si>
  <si>
    <t>D21</t>
  </si>
  <si>
    <t>D25</t>
  </si>
  <si>
    <t>D26</t>
  </si>
  <si>
    <t>D28</t>
  </si>
  <si>
    <t>SENIOR FINANCIAL ANALYST</t>
  </si>
  <si>
    <t>BNG212</t>
  </si>
  <si>
    <t>ANG211</t>
  </si>
  <si>
    <t>ANG212</t>
  </si>
  <si>
    <t>ASSISTANT TO THE CITY MANAGER</t>
  </si>
  <si>
    <t>PNG302</t>
  </si>
  <si>
    <t>SENIOR CONSTRUCTION PROJECT INSPECTOR</t>
  </si>
  <si>
    <t>JNG303</t>
  </si>
  <si>
    <t>CONSTRUCTION PROJECT INSPECTOR</t>
  </si>
  <si>
    <t>F07</t>
  </si>
  <si>
    <t>C01</t>
  </si>
  <si>
    <t>C02</t>
  </si>
  <si>
    <t>DNG222</t>
  </si>
  <si>
    <t>COMMUNITY DEVELOPMENT MANAGER</t>
  </si>
  <si>
    <t>F02</t>
  </si>
  <si>
    <t>F04</t>
  </si>
  <si>
    <t>F05</t>
  </si>
  <si>
    <t>F06</t>
  </si>
  <si>
    <t>B29</t>
  </si>
  <si>
    <t>B30</t>
  </si>
  <si>
    <t>B31</t>
  </si>
  <si>
    <t>B32</t>
  </si>
  <si>
    <t>B34</t>
  </si>
  <si>
    <t>B35</t>
  </si>
  <si>
    <t>B38</t>
  </si>
  <si>
    <t>B39</t>
  </si>
  <si>
    <t>D22</t>
  </si>
  <si>
    <t>D23</t>
  </si>
  <si>
    <t>D27</t>
  </si>
  <si>
    <t>D29</t>
  </si>
  <si>
    <t>D30</t>
  </si>
  <si>
    <t>D31</t>
  </si>
  <si>
    <t>PRD304</t>
  </si>
  <si>
    <t>FIRE FIGHTER</t>
  </si>
  <si>
    <t>FIRE FIGHTER/ENGINEER</t>
  </si>
  <si>
    <t>FIRE FIGHTER/PARAMEDIC</t>
  </si>
  <si>
    <t>FIRE LIEUTENANT</t>
  </si>
  <si>
    <t>FIRE LIEUTENANT (MSO)</t>
  </si>
  <si>
    <t>FIRE CAPTAIN</t>
  </si>
  <si>
    <t>FIRE CAPTAIN (MSO)</t>
  </si>
  <si>
    <t>SIGNAL ASSISTANT</t>
  </si>
  <si>
    <t>SIGNAL REPAIR SPECIALIST</t>
  </si>
  <si>
    <t>ELECTRONICS TECHNICIAN</t>
  </si>
  <si>
    <t>MASTER ELECTRONICS TECHNICIAN</t>
  </si>
  <si>
    <t>1/2</t>
  </si>
  <si>
    <t>2/3</t>
  </si>
  <si>
    <t>3/4</t>
  </si>
  <si>
    <t>4/5</t>
  </si>
  <si>
    <t>5/6</t>
  </si>
  <si>
    <t>STEP WIDTH</t>
  </si>
  <si>
    <t>RANGE WIDTH</t>
  </si>
  <si>
    <t>RANGE INTERVAL</t>
  </si>
  <si>
    <t>FIXED RATE</t>
  </si>
  <si>
    <t>FRN201</t>
  </si>
  <si>
    <t>FRN403</t>
  </si>
  <si>
    <t>MIN/MID</t>
  </si>
  <si>
    <t>MID/MAX</t>
  </si>
  <si>
    <t>NEIGHBOORHOOD PROGRAM MANAGER</t>
  </si>
  <si>
    <t>CODE</t>
  </si>
  <si>
    <t>ABBREV</t>
  </si>
  <si>
    <t>FULL NAME</t>
  </si>
  <si>
    <t>% OF TOP STEP OFFICER</t>
  </si>
  <si>
    <t>% OF BASE WAGE</t>
  </si>
  <si>
    <t>STEP 1</t>
  </si>
  <si>
    <t>STEP 2</t>
  </si>
  <si>
    <t>STEP 3</t>
  </si>
  <si>
    <t>STEP 4</t>
  </si>
  <si>
    <t>STEP 5</t>
  </si>
  <si>
    <t>FIRE LT PREMIUM AMT</t>
  </si>
  <si>
    <t>FIRE CAPT PREMIUM AMT</t>
  </si>
  <si>
    <t>DNG223</t>
  </si>
  <si>
    <t>UTILITIES REVIEW PROFESSIONAL</t>
  </si>
  <si>
    <t>ADMINISTRATIVE SERVICES MANAGER</t>
  </si>
  <si>
    <t>GNG209</t>
  </si>
  <si>
    <t>D40</t>
  </si>
  <si>
    <t>CAPITAL PROJECT COORDINATOR</t>
  </si>
  <si>
    <t>CAPITAL PROJECT MANAGER</t>
  </si>
  <si>
    <t>ASST MECHANICAL SVCS TECH</t>
  </si>
  <si>
    <t>MECHANICAL SERVICES TECH</t>
  </si>
  <si>
    <t>LEAD MECHANICAL SVCS TECH</t>
  </si>
  <si>
    <t>TRAINING &amp; ORGANIZATION DEVELOPMENT COORD</t>
  </si>
  <si>
    <t>ASST ELECTRONIC COMMCTNS TECH</t>
  </si>
  <si>
    <t>ASST DIR, PARKS &amp; COMMUNITY SERVICES</t>
  </si>
  <si>
    <t>ELECTRONIC HOME DETENTION COORDINATOR</t>
  </si>
  <si>
    <t>EMERGENCY PREPAREDNESS COORDINATOR</t>
  </si>
  <si>
    <t>COMMUNITY SERVICES PROGRAM COORDINATOR</t>
  </si>
  <si>
    <t>PROBATION DIVISION ASSISTANT MANAGER</t>
  </si>
  <si>
    <t>POLICE OFFICER PREMIUM AMT</t>
  </si>
  <si>
    <t>HUMAN RESOURCES PROGRAM ADMINISTRATOR</t>
  </si>
  <si>
    <t>HNG207</t>
  </si>
  <si>
    <t>RETIREMENT SERVICES MANAGER</t>
  </si>
  <si>
    <t>ING214</t>
  </si>
  <si>
    <t>ERP PROJECT SUPERVISOR</t>
  </si>
  <si>
    <t>INFORMATION TECHNOLOGY SUPERVISOR</t>
  </si>
  <si>
    <t>INFORMATION TECHNOLOGY MANAGER</t>
  </si>
  <si>
    <t>HNM201</t>
  </si>
  <si>
    <t>DIRECTOR, HUMAN RESOURCES</t>
  </si>
  <si>
    <t>DIRECTOR, PARKS &amp; COMMUNITY SERVICES</t>
  </si>
  <si>
    <t>DIRECTOR, TRANSPORTATION</t>
  </si>
  <si>
    <t>DIRECTOR, UTILITIES</t>
  </si>
  <si>
    <t>PARKS &amp; COMMUNITY SERVICES MANAGER</t>
  </si>
  <si>
    <t>D41</t>
  </si>
  <si>
    <t>+</t>
  </si>
  <si>
    <t>WORKING CHIEF</t>
  </si>
  <si>
    <t>G12</t>
  </si>
  <si>
    <t>ING217</t>
  </si>
  <si>
    <t>D20</t>
  </si>
  <si>
    <t>D24</t>
  </si>
  <si>
    <t>CUSTODIAN</t>
  </si>
  <si>
    <t>STEP 6</t>
  </si>
  <si>
    <t>PRD607</t>
  </si>
  <si>
    <t>PRD605</t>
  </si>
  <si>
    <t>BNG213</t>
  </si>
  <si>
    <t>PERFORMANCE &amp; OUTREACH COORDINATOR</t>
  </si>
  <si>
    <t>ANNUAL</t>
  </si>
  <si>
    <t>G02</t>
  </si>
  <si>
    <t>G03</t>
  </si>
  <si>
    <t>G04</t>
  </si>
  <si>
    <t>G05</t>
  </si>
  <si>
    <t>G06</t>
  </si>
  <si>
    <t>G11</t>
  </si>
  <si>
    <t>G15</t>
  </si>
  <si>
    <t>G17</t>
  </si>
  <si>
    <t>FIRE LIEUTENANT (ADMINISTRATIVE)</t>
  </si>
  <si>
    <t>FIRE CAPTAIN (ADMINISTRATIVE)</t>
  </si>
  <si>
    <t>FIREFIGHTER PREMIUM AMT</t>
  </si>
  <si>
    <t>FIREFIGHTER/ENGINEER PREMIUM AMT</t>
  </si>
  <si>
    <t>FIREFIGHTER/PARAMEDIC PREMIUM AMT</t>
  </si>
  <si>
    <t>FIRE LT- ADMIN + MSO PREMIUM AMT</t>
  </si>
  <si>
    <t>FIRE CAPT- ADMIN + MSO PREMIUM AMT</t>
  </si>
  <si>
    <t>GRANT ADMINISTRATOR</t>
  </si>
  <si>
    <t>MNG202</t>
  </si>
  <si>
    <t>GOLF COURSE MAINTENANCE SUPERINTENDENT</t>
  </si>
  <si>
    <t>ENG212</t>
  </si>
  <si>
    <t>ASST DIR, INFORMATION TECHNOLOGY</t>
  </si>
  <si>
    <t>ASST DIR, UTILITIES</t>
  </si>
  <si>
    <t>ASST DIR, TRANSPORTATION</t>
  </si>
  <si>
    <t>ASST DIR, HUMAN RESOURCES</t>
  </si>
  <si>
    <t>ASST DIR, FINANCE</t>
  </si>
  <si>
    <t>VS</t>
  </si>
  <si>
    <t>5% STEP WIDTH</t>
  </si>
  <si>
    <t>PREMIUM AMT</t>
  </si>
  <si>
    <t>% OF TOP STEP CAPTAIN</t>
  </si>
  <si>
    <t>SERVICE FIRST COORDINATOR</t>
  </si>
  <si>
    <t>PP- RNG</t>
  </si>
  <si>
    <t>FIREED</t>
  </si>
  <si>
    <t>EDPARAMEDIC</t>
  </si>
  <si>
    <t>ADDHAZMS</t>
  </si>
  <si>
    <t>Add to Pay HAZMAT Lead</t>
  </si>
  <si>
    <t>ADDHAZML</t>
  </si>
  <si>
    <t>ADDMAPSP</t>
  </si>
  <si>
    <t>ADDBTHAS</t>
  </si>
  <si>
    <t>ADDBTHAL</t>
  </si>
  <si>
    <t>Add to Pay Small Equip &amp; Hose</t>
  </si>
  <si>
    <t>ADDSEHSP</t>
  </si>
  <si>
    <t>ADDPARAT</t>
  </si>
  <si>
    <t>ADDTRUCK</t>
  </si>
  <si>
    <t>BPMA0105</t>
  </si>
  <si>
    <t>Education @ 6%</t>
  </si>
  <si>
    <t>Education @ 7%</t>
  </si>
  <si>
    <t>Education @ 8%</t>
  </si>
  <si>
    <t>Education @ 9%</t>
  </si>
  <si>
    <t>ADDLEADK</t>
  </si>
  <si>
    <t>POLICE CORPORAL</t>
  </si>
  <si>
    <t>PRP403</t>
  </si>
  <si>
    <t>P15</t>
  </si>
  <si>
    <t>PAY BAND</t>
  </si>
  <si>
    <t>B</t>
  </si>
  <si>
    <t>A</t>
  </si>
  <si>
    <t xml:space="preserve">DIRECTOR, INTERGOVERNMENTAL RELATIONS </t>
  </si>
  <si>
    <t>POLICE CORPORAL PREMIUM AMT</t>
  </si>
  <si>
    <t>ARO</t>
  </si>
  <si>
    <t>BIKE</t>
  </si>
  <si>
    <t>BOMB</t>
  </si>
  <si>
    <t>DET</t>
  </si>
  <si>
    <t>Detective</t>
  </si>
  <si>
    <t>K-9</t>
  </si>
  <si>
    <t>MOTORC</t>
  </si>
  <si>
    <t>Motorcycle</t>
  </si>
  <si>
    <t>PI OFF</t>
  </si>
  <si>
    <t>Public Information Officer</t>
  </si>
  <si>
    <t>FTO @ 4%</t>
  </si>
  <si>
    <t>Field Training Officer</t>
  </si>
  <si>
    <t>PSL</t>
  </si>
  <si>
    <t>GNG210</t>
  </si>
  <si>
    <t>LNG206</t>
  </si>
  <si>
    <t>FORENSIC LAB MANAGER</t>
  </si>
  <si>
    <t>ANG608</t>
  </si>
  <si>
    <t>RECREATION CENTER COORDINATOR</t>
  </si>
  <si>
    <t>MNG208</t>
  </si>
  <si>
    <t>DEPUTY FIRE/POLICE CHIEF PREMIUM PAYS</t>
  </si>
  <si>
    <t>Mrkt Add Pay</t>
  </si>
  <si>
    <t>Market Add-to-Pay</t>
  </si>
  <si>
    <t>GNG212</t>
  </si>
  <si>
    <t>FIRE EDUCATION COORDINATOR</t>
  </si>
  <si>
    <t>ENM204</t>
  </si>
  <si>
    <t>RNM202</t>
  </si>
  <si>
    <t>DEPUTY DIR, UTILITIES</t>
  </si>
  <si>
    <t>DEPUTY DIR, TRANSPORTATION</t>
  </si>
  <si>
    <t>DEPUTY DIR, PARKS &amp; COMMUNITY SERVICES</t>
  </si>
  <si>
    <t>UTILITIES ADMINISTRATION &amp; OPERATIONS MANAGER</t>
  </si>
  <si>
    <t>UTILITIES BILLING MANAGER</t>
  </si>
  <si>
    <t>ANG213</t>
  </si>
  <si>
    <t>MNG210</t>
  </si>
  <si>
    <t>FACILITIES OPERATIONS SUPERINTENDENT</t>
  </si>
  <si>
    <t>UTILITIES OPERATIONS &amp; MAINTENANCE MANAGER</t>
  </si>
  <si>
    <t>(E01)</t>
  </si>
  <si>
    <t>(E02)</t>
  </si>
  <si>
    <t>(E03)</t>
  </si>
  <si>
    <t>ANG609</t>
  </si>
  <si>
    <t>PUBLIC RECORDS MGMT SPECIALIST</t>
  </si>
  <si>
    <t>ANG214</t>
  </si>
  <si>
    <t>FRK303</t>
  </si>
  <si>
    <t>FIRE PREVENTION OFFICER</t>
  </si>
  <si>
    <t>FIRE PREVENTION OFFICER PREMIUM AMT</t>
  </si>
  <si>
    <t>A01</t>
  </si>
  <si>
    <t>MMG802</t>
  </si>
  <si>
    <t>MAINTENANCE AIDE 1 - PBM</t>
  </si>
  <si>
    <t>MPG802</t>
  </si>
  <si>
    <t>MAINTENANCE AIDE 1 - PBP</t>
  </si>
  <si>
    <t>A02</t>
  </si>
  <si>
    <t>MMG804</t>
  </si>
  <si>
    <t>MAINTENANCE AIDE 2 - PBM</t>
  </si>
  <si>
    <t>MPG804</t>
  </si>
  <si>
    <t>MAINTENANCE AIDE 2 - PBP</t>
  </si>
  <si>
    <t>PBM =</t>
  </si>
  <si>
    <t>Partially Benefited MEBT2</t>
  </si>
  <si>
    <t>PBP =</t>
  </si>
  <si>
    <t>Partially Benefited PERS</t>
  </si>
  <si>
    <t>B40</t>
  </si>
  <si>
    <t>B41</t>
  </si>
  <si>
    <t>MRB710</t>
  </si>
  <si>
    <t>LEAD WORKER - PROGRAMS</t>
  </si>
  <si>
    <t>B42</t>
  </si>
  <si>
    <t>MRB711</t>
  </si>
  <si>
    <t>CREW LEADER - TECH SPEC</t>
  </si>
  <si>
    <t>FIRE FIGHTER/STAFF ASST</t>
  </si>
  <si>
    <t>FIRE FIGHTER/ADMIN</t>
  </si>
  <si>
    <t>FIRE FIGHTER/ENGINEER ADMIN</t>
  </si>
  <si>
    <t>110% OF TOP STEP FF</t>
  </si>
  <si>
    <t>115.5% OF TOP STEP FF</t>
  </si>
  <si>
    <t>FIRE FIGHTER/PARAMEDIC ADMIN</t>
  </si>
  <si>
    <t>126.5% OF TOP STEP FF</t>
  </si>
  <si>
    <t>FIRE LIEUTENANT/FIRE TRAINING</t>
  </si>
  <si>
    <t>FIRE LIEUTENANT/EMS TRAINING</t>
  </si>
  <si>
    <t>FIRE LIEUTENANT/COMMUNITY LIAISON</t>
  </si>
  <si>
    <t>139.15% OF TOP STEP FF</t>
  </si>
  <si>
    <t>EDINF @ 2.5 % (45 cdts)</t>
  </si>
  <si>
    <t>EDINF @ 3.5 % (AA)</t>
  </si>
  <si>
    <t>EDINF @ 4.0 % (BA)</t>
  </si>
  <si>
    <t>Longevity @ 1% (month 61)</t>
  </si>
  <si>
    <t>EDINF @ 2.5 % (45 cdt)</t>
  </si>
  <si>
    <t>EDINF @ 4.0 % (AA)</t>
  </si>
  <si>
    <t>EDINF @ 4.5 % (BA)</t>
  </si>
  <si>
    <t>EDINF @ 4.5 % (AA)</t>
  </si>
  <si>
    <t>EDINF @ 5.0 % (BA)</t>
  </si>
  <si>
    <t>106% of top step FF</t>
  </si>
  <si>
    <t>105% of top step FF</t>
  </si>
  <si>
    <t>115% of top step FF</t>
  </si>
  <si>
    <t>-</t>
  </si>
  <si>
    <t>N05</t>
  </si>
  <si>
    <t>N07</t>
  </si>
  <si>
    <t>E</t>
  </si>
  <si>
    <t>NE</t>
  </si>
  <si>
    <t>ING507</t>
  </si>
  <si>
    <t>IT CONTENT DEV/MULTIMEDIA 1</t>
  </si>
  <si>
    <t>ING505</t>
  </si>
  <si>
    <t>ING303</t>
  </si>
  <si>
    <t>IT NETWORK/SYSTEM ADMINISTRATOR 1</t>
  </si>
  <si>
    <t>ING506</t>
  </si>
  <si>
    <t>IT GEOGRAPHIC INFORMATION SYSTEMS 1</t>
  </si>
  <si>
    <t>ING251</t>
  </si>
  <si>
    <t>IT CONTENT DEV/MULTIMEDIA 2</t>
  </si>
  <si>
    <t>ING305</t>
  </si>
  <si>
    <t>IT END USER SUPPORT 1</t>
  </si>
  <si>
    <t>ING504</t>
  </si>
  <si>
    <t>IT TRAINER 1</t>
  </si>
  <si>
    <t>IT GEOGRAPHIC INFORMATION SYSTEMS 2</t>
  </si>
  <si>
    <t>ING248</t>
  </si>
  <si>
    <t>ING245</t>
  </si>
  <si>
    <t>IT PROJECT MANAGER 1</t>
  </si>
  <si>
    <t>ING241</t>
  </si>
  <si>
    <t>ING304</t>
  </si>
  <si>
    <t>IT END USER SUPPORT 2</t>
  </si>
  <si>
    <t>ING232</t>
  </si>
  <si>
    <t>IT NETWORK/SYSTEM ADMINISTRATOR 2</t>
  </si>
  <si>
    <t>ING228</t>
  </si>
  <si>
    <t>IT SYSTEMS ANALYST 1</t>
  </si>
  <si>
    <t>ING239</t>
  </si>
  <si>
    <t>IT TRAINER 2</t>
  </si>
  <si>
    <t>ING223</t>
  </si>
  <si>
    <t>IT APPLICATION DEVELOPER 1</t>
  </si>
  <si>
    <t>ING250</t>
  </si>
  <si>
    <t>IT CONTENT DEV/MULTIMEDIA 3</t>
  </si>
  <si>
    <t>ING235</t>
  </si>
  <si>
    <t>IT DATABASE ADMINSTRATOR 1</t>
  </si>
  <si>
    <t>ING244</t>
  </si>
  <si>
    <t>IT PROJECT MANAGER 2</t>
  </si>
  <si>
    <t>ING237</t>
  </si>
  <si>
    <t>IT END USER SUPPORT 3</t>
  </si>
  <si>
    <t>ING238</t>
  </si>
  <si>
    <t>IT TRAINER 3</t>
  </si>
  <si>
    <t>ING240</t>
  </si>
  <si>
    <t>ING247</t>
  </si>
  <si>
    <t>IT GEOGRAPHIC INFORMATION SYSTEMS 3</t>
  </si>
  <si>
    <t>ING227</t>
  </si>
  <si>
    <t>IT SYSTEMS ANALYST 2</t>
  </si>
  <si>
    <t>ING222</t>
  </si>
  <si>
    <t>IT APPLICATION DEVELOPER 2</t>
  </si>
  <si>
    <t>ING249</t>
  </si>
  <si>
    <t>IT CONTENT DEV/MULTIMEDIA 4A</t>
  </si>
  <si>
    <t>ING236</t>
  </si>
  <si>
    <t>IT END USER SUPPORT 4A</t>
  </si>
  <si>
    <t>ING246</t>
  </si>
  <si>
    <t>IT GEOGRAPHIC INFORMATION SYSTEMS 4A</t>
  </si>
  <si>
    <t>ING231</t>
  </si>
  <si>
    <t>IT NETWORK/SYSTEM ADMINISTRATOR 3</t>
  </si>
  <si>
    <t>ING234</t>
  </si>
  <si>
    <t>IT DATABASE ADMINSTRATOR 2</t>
  </si>
  <si>
    <t>ING243</t>
  </si>
  <si>
    <t>IT PROJECT MANAGER 3</t>
  </si>
  <si>
    <t>ING226</t>
  </si>
  <si>
    <t>IT SYSTEMS ANALYST 3</t>
  </si>
  <si>
    <t>ING221</t>
  </si>
  <si>
    <t>IT APPLICATION DEVELOPER 3</t>
  </si>
  <si>
    <t>ING225</t>
  </si>
  <si>
    <t>IT SYSTEMS ANALYST 4A</t>
  </si>
  <si>
    <t>ING220</t>
  </si>
  <si>
    <t>IT APPLICATION DEVELOPER 4A</t>
  </si>
  <si>
    <t>ING230</t>
  </si>
  <si>
    <t>ING233</t>
  </si>
  <si>
    <t>ING229</t>
  </si>
  <si>
    <t>IT NETWORK/SYSTEM ADMINISTRATOR 4B</t>
  </si>
  <si>
    <t>ING219</t>
  </si>
  <si>
    <t>IT APPLICATION DEVELOPER 4B</t>
  </si>
  <si>
    <t>ING242</t>
  </si>
  <si>
    <t>IT PROJECT MANAGER 4A</t>
  </si>
  <si>
    <t>ING224</t>
  </si>
  <si>
    <t>IT SYSTEMS ANALYST 4B</t>
  </si>
  <si>
    <t>IT DATABASE ADMINSTRATOR 3</t>
  </si>
  <si>
    <t>E / NE</t>
  </si>
  <si>
    <t>STEPS</t>
  </si>
  <si>
    <t>6+</t>
  </si>
  <si>
    <t>RANGE</t>
  </si>
  <si>
    <t>FIRE CAPTAIN (SUPPLY &amp; MAINT COORD</t>
  </si>
  <si>
    <t>POLICE CAPTAIN PREMIUM PAYS</t>
  </si>
  <si>
    <t>POLICE MAJOR PREMIUM PAYS</t>
  </si>
  <si>
    <t>% OF TOP STEP MAJOR</t>
  </si>
  <si>
    <t>Education @ 10%</t>
  </si>
  <si>
    <t>Longevity BPMA @ 11%</t>
  </si>
  <si>
    <t>IT NETWORK/SYSTEM ADMINISTRATOR 4A</t>
  </si>
  <si>
    <t>REGIONAL INFORMATION TECH PROJ MGR</t>
  </si>
  <si>
    <t>ENG213</t>
  </si>
  <si>
    <t>NEIGHBORHOOD TRANSPORTATION SVC MGR</t>
  </si>
  <si>
    <t>1028</t>
  </si>
  <si>
    <t>EDINCB</t>
  </si>
  <si>
    <t>LONGGB</t>
  </si>
  <si>
    <t>TBD</t>
  </si>
  <si>
    <t>D43</t>
  </si>
  <si>
    <t>POLICE SUPPORT INFO/TECH SPEC</t>
  </si>
  <si>
    <t>POLICE SUPPORT SPECIALIST</t>
  </si>
  <si>
    <t>LEAD POLICE SUPPORT SPECIALIST</t>
  </si>
  <si>
    <t>BNG215</t>
  </si>
  <si>
    <t>ANG216</t>
  </si>
  <si>
    <t>ING252</t>
  </si>
  <si>
    <t>BUSINESS SYSTEMS MANAGER</t>
  </si>
  <si>
    <t>STUDENT INTERN 1</t>
  </si>
  <si>
    <t>STUDENT INTERN 2</t>
  </si>
  <si>
    <t>STUDENT INTERN 3</t>
  </si>
  <si>
    <t>SURVEYOR 1</t>
  </si>
  <si>
    <t>SURVEYOR 2</t>
  </si>
  <si>
    <t>SURVEYOR 3</t>
  </si>
  <si>
    <t>ATTORNEY 1</t>
  </si>
  <si>
    <t>ATTORNEY 2</t>
  </si>
  <si>
    <t>RECREATION ASSISTANT 1</t>
  </si>
  <si>
    <t>RECREATION ASSISTANT 2</t>
  </si>
  <si>
    <t>RECREATION ASSISTANT 3</t>
  </si>
  <si>
    <t>STRUCTURAL MAINT SPEC 1</t>
  </si>
  <si>
    <t>INVENTORY SPECIALIST 1</t>
  </si>
  <si>
    <t>STRUCTURAL MAINT SPEC 2</t>
  </si>
  <si>
    <t>INVENTORY SPECIALIST 2</t>
  </si>
  <si>
    <t>DNG226</t>
  </si>
  <si>
    <t>DEVELOPMENT SVCS EDUCATION/TRAINING COORDINATOR</t>
  </si>
  <si>
    <t>ENG309</t>
  </si>
  <si>
    <t>SURVEY ASSISTANT</t>
  </si>
  <si>
    <t>LITIGATION SUPPORT SUPERVISOR</t>
  </si>
  <si>
    <t>LNG207</t>
  </si>
  <si>
    <t>Family</t>
  </si>
  <si>
    <t>Union/Non Union</t>
  </si>
  <si>
    <t>Pay Plan</t>
  </si>
  <si>
    <t>EEO</t>
  </si>
  <si>
    <t>Sq</t>
  </si>
  <si>
    <t>A = Administrative</t>
  </si>
  <si>
    <t>R=Rep</t>
  </si>
  <si>
    <t>N=Non Rep</t>
  </si>
  <si>
    <t>M= ?</t>
  </si>
  <si>
    <t>P= ?</t>
  </si>
  <si>
    <t>Self explanatory</t>
  </si>
  <si>
    <t>B = Finance</t>
  </si>
  <si>
    <t>C = Council</t>
  </si>
  <si>
    <t>D = Planning</t>
  </si>
  <si>
    <t>E = Engineering</t>
  </si>
  <si>
    <t>F = Fire</t>
  </si>
  <si>
    <t>G = Community / Government Relations</t>
  </si>
  <si>
    <t>H = Human Resources</t>
  </si>
  <si>
    <t>I = Information Technology</t>
  </si>
  <si>
    <t>J = Inspection and Code</t>
  </si>
  <si>
    <t>L = Legal</t>
  </si>
  <si>
    <t>M = Maintenance</t>
  </si>
  <si>
    <t>P = Police</t>
  </si>
  <si>
    <t>R = Parks</t>
  </si>
  <si>
    <t>S = Probation</t>
  </si>
  <si>
    <t>X = Executive</t>
  </si>
  <si>
    <t>Title Code Key:</t>
  </si>
  <si>
    <t>C</t>
  </si>
  <si>
    <t>A/B</t>
  </si>
  <si>
    <t>B/C</t>
  </si>
  <si>
    <t>PNG203</t>
  </si>
  <si>
    <t>POLICE SYSTEMS MANAGER</t>
  </si>
  <si>
    <t>DNG227</t>
  </si>
  <si>
    <t>PERMIT CENTER MANAGER</t>
  </si>
  <si>
    <t>DNE102</t>
  </si>
  <si>
    <t>DIRECTOR, DEVELOPMENT SERVICES</t>
  </si>
  <si>
    <t>MNE101</t>
  </si>
  <si>
    <t>DIRECTOR, CIVIC SERVICES</t>
  </si>
  <si>
    <t>JNG204</t>
  </si>
  <si>
    <t>INSPECTION SERVICES MANAGER</t>
  </si>
  <si>
    <t>GNG501</t>
  </si>
  <si>
    <t>EMERGENCY PREPAREDNESS PLANS COORDINATOR</t>
  </si>
  <si>
    <t>MANAGEMENT ASST TO THE DIRECTOR</t>
  </si>
  <si>
    <t>INM202</t>
  </si>
  <si>
    <t>EXEC DIR eCITY GOV ALLIANCE</t>
  </si>
  <si>
    <t>V01</t>
  </si>
  <si>
    <t xml:space="preserve">Longevity -completion of 15 years (mo 181) </t>
  </si>
  <si>
    <t xml:space="preserve">Longevity -completion of 20 years (mo 241) </t>
  </si>
  <si>
    <t xml:space="preserve">Longevity -completion of 25 years (mo 301) </t>
  </si>
  <si>
    <t xml:space="preserve">Longevity -completion of 30 years (mo 361) </t>
  </si>
  <si>
    <t>Longevity</t>
  </si>
  <si>
    <t>Longevity Pay Starts</t>
  </si>
  <si>
    <t>% of Monthly Salary</t>
  </si>
  <si>
    <t>Month 61</t>
  </si>
  <si>
    <t>Month 121</t>
  </si>
  <si>
    <t>Month 181</t>
  </si>
  <si>
    <t>Month 241</t>
  </si>
  <si>
    <t>Month 361</t>
  </si>
  <si>
    <t>Month 301</t>
  </si>
  <si>
    <t>Longevity for Inspectors and Plans Examiners</t>
  </si>
  <si>
    <t>Completion 
of Years</t>
  </si>
  <si>
    <t>FNV201</t>
  </si>
  <si>
    <t>HNG208</t>
  </si>
  <si>
    <t>ORGANIZATION DEVELOPMENT CONSULTANT</t>
  </si>
  <si>
    <t>GNG203</t>
  </si>
  <si>
    <t>EMERGENCY PREPAREDNESS MANAGER</t>
  </si>
  <si>
    <t>DNG214</t>
  </si>
  <si>
    <t>REAL PROPERTY MANAGER</t>
  </si>
  <si>
    <t>DISPATCHER*</t>
  </si>
  <si>
    <t>LEAD DISPATCHER*</t>
  </si>
  <si>
    <t>GEOFILE TECHNICIAN*</t>
  </si>
  <si>
    <t>PUBLIC SAFETY APP ANALYST*</t>
  </si>
  <si>
    <t>*Positions discontinued effective July 1, 2009.</t>
  </si>
  <si>
    <t>POLICE DATA ANALYST</t>
  </si>
  <si>
    <t>Position discontinued eff 7/1/09</t>
  </si>
  <si>
    <t>FireIn L1-1%</t>
  </si>
  <si>
    <t>FireIn L1-2%</t>
  </si>
  <si>
    <t>FireIn L1-3%</t>
  </si>
  <si>
    <t>Certification Pay Matrix</t>
  </si>
  <si>
    <t>PRD622</t>
  </si>
  <si>
    <t>POLICE PERSONNEL SUPPORT SPECIALIST</t>
  </si>
  <si>
    <t>LNG208</t>
  </si>
  <si>
    <t>RISK MANAGER</t>
  </si>
  <si>
    <t>LONGBC@6%</t>
  </si>
  <si>
    <t>LONGBC@7%</t>
  </si>
  <si>
    <t>LONGBC@9%</t>
  </si>
  <si>
    <t>TECHNOLOGY BUSINESS ANALYST 1</t>
  </si>
  <si>
    <t>TECHNOLOGY BUSINESS ANALYST 2</t>
  </si>
  <si>
    <t>TECHNOLOGY BUSINESS ANALYST 3</t>
  </si>
  <si>
    <t>HNG209</t>
  </si>
  <si>
    <t>HUMAN RESOURCES DIVISION MANAGER</t>
  </si>
  <si>
    <t>MNM201</t>
  </si>
  <si>
    <t>ASST DIR, CIVIC SERVICES</t>
  </si>
  <si>
    <t>HNG210</t>
  </si>
  <si>
    <t>HUMAN RESOURCES MANAGER</t>
  </si>
  <si>
    <t>D44</t>
  </si>
  <si>
    <t>PRD305</t>
  </si>
  <si>
    <t>POLICE CRIME ANALYST</t>
  </si>
  <si>
    <t>ANG218</t>
  </si>
  <si>
    <t>ANG217</t>
  </si>
  <si>
    <t>Last salary update for below positions = 2009</t>
  </si>
  <si>
    <t>PUBLIC DISCLOSURE ANALYST</t>
  </si>
  <si>
    <t>Certified Fire Investigator Pay</t>
  </si>
  <si>
    <t>INVSG 3%-FPO</t>
  </si>
  <si>
    <t>Lead Fire Prevention Officer Premium*</t>
  </si>
  <si>
    <t>*Lead pay discontinued eff July 3, 2012</t>
  </si>
  <si>
    <t>FIRE BATTALION CHIEF - PLATOON</t>
  </si>
  <si>
    <t>FIRE BATTALION CHIEF - ADMINISTRATIVE</t>
  </si>
  <si>
    <t>Ranges below last updated with COLA in 2009</t>
  </si>
  <si>
    <t>BENEFITS SPECIALIST</t>
  </si>
  <si>
    <t>FISCAL LONG RANGE PLANNING ADMINISTRATOR</t>
  </si>
  <si>
    <t>Positions Discontinued</t>
  </si>
  <si>
    <t>HNG502</t>
  </si>
  <si>
    <t>REGIONAL TRANSPORTATION PROJECTS MGR</t>
  </si>
  <si>
    <t xml:space="preserve">ASST DIR, CITY CLERKS &amp; PUBLIC RECORDS </t>
  </si>
  <si>
    <t>ANM202</t>
  </si>
  <si>
    <t>DNG229</t>
  </si>
  <si>
    <t>SENIOR UTILITIES REVIEW PROFESSIONAL</t>
  </si>
  <si>
    <t>MNG211</t>
  </si>
  <si>
    <t>FLEET &amp; COMMUNICATIONS ADMINISTRATOR</t>
  </si>
  <si>
    <t>MNG212</t>
  </si>
  <si>
    <t>TRANSPORTATION OPERATIONS &amp; MAINTENANCE MGR</t>
  </si>
  <si>
    <t>ANG219</t>
  </si>
  <si>
    <t>SENIOR BUSINESS PROCESS ANALYST</t>
  </si>
  <si>
    <t>ENG215</t>
  </si>
  <si>
    <t>TRANSPORTATION STRATEGIC ENGINEERING ADVISOR</t>
  </si>
  <si>
    <t>ANG220</t>
  </si>
  <si>
    <t>MANAGEMENT FELLOW</t>
  </si>
  <si>
    <t>CHIEF COMMUNICATIONS OFFICER</t>
  </si>
  <si>
    <t>ANG221</t>
  </si>
  <si>
    <t>PARKS PROPERTY AND ACQUISITIONS MANAGER</t>
  </si>
  <si>
    <t>DNM203</t>
  </si>
  <si>
    <t>ASST DIR, DEVELOPMENT SERVICES</t>
  </si>
  <si>
    <t>DIGITAL COMMUNICATIONS COORDINATOR</t>
  </si>
  <si>
    <t>ENTERPRISE CONTENT BUSINESS ADMINISTRATOR</t>
  </si>
  <si>
    <t>ENTERPRISE CONTENT BUSINESS MANAGER</t>
  </si>
  <si>
    <t>CHIEF ECONOMIC DEVELOPMENT OFFICER</t>
  </si>
  <si>
    <t>LONGBC@12%</t>
  </si>
  <si>
    <t>LONGBC@10.5%</t>
  </si>
  <si>
    <t xml:space="preserve">Longevity -completion of 35 years (mo 421) </t>
  </si>
  <si>
    <t>LEGAL SECRETARY (D)**</t>
  </si>
  <si>
    <t>POLICE OPS SUPPORT SPEC**</t>
  </si>
  <si>
    <t>**Classification changed to Police Support Admin Asst eff early 2015</t>
  </si>
  <si>
    <t>POLICE SUPPORT ADMIN ASST</t>
  </si>
  <si>
    <t>ANG610</t>
  </si>
  <si>
    <t>ACCOUNT REPRESENTATIVE, UTILITY BILLING</t>
  </si>
  <si>
    <t>70% of journey</t>
  </si>
  <si>
    <t>80% of journey</t>
  </si>
  <si>
    <t>85% of journey</t>
  </si>
  <si>
    <t>JOURNEY</t>
  </si>
  <si>
    <t>109% of journey</t>
  </si>
  <si>
    <t>114% of journey</t>
  </si>
  <si>
    <t>D45</t>
  </si>
  <si>
    <t>PRD501</t>
  </si>
  <si>
    <t>D46</t>
  </si>
  <si>
    <t>PRD623</t>
  </si>
  <si>
    <t>n/a</t>
  </si>
  <si>
    <t>ECONOMIC DEVELOPMENT MANAGER</t>
  </si>
  <si>
    <t>GNG211</t>
  </si>
  <si>
    <t>PERFORMANCE AND PROCESS ANALYST</t>
  </si>
  <si>
    <t>BUDGET DIVISION MANAGER</t>
  </si>
  <si>
    <t>PAVEMENT PROJECT MANAGER</t>
  </si>
  <si>
    <t>TRANSPORTATION CONSTRUCTION MGR</t>
  </si>
  <si>
    <t>NPDES PERMIT COORDINATOR</t>
  </si>
  <si>
    <t>ENG217</t>
  </si>
  <si>
    <t>BNG217</t>
  </si>
  <si>
    <t>GNG213</t>
  </si>
  <si>
    <t>ENG216</t>
  </si>
  <si>
    <t>GNG215</t>
  </si>
  <si>
    <t>GNG214</t>
  </si>
  <si>
    <t>DNG230</t>
  </si>
  <si>
    <t>MAINTENANCE AIDE 1-LTE
Limited Term Employee</t>
  </si>
  <si>
    <t>MAINTENANCE AIDE 2-LTE
Limited Term Employee</t>
  </si>
  <si>
    <t>CUSTODIAN LEAD</t>
  </si>
  <si>
    <t>B43</t>
  </si>
  <si>
    <t>MRB807</t>
  </si>
  <si>
    <t>B44</t>
  </si>
  <si>
    <t>MRB808</t>
  </si>
  <si>
    <t>AdvFirePlans</t>
  </si>
  <si>
    <t>Advanced Level Fire Plans Examination Pay*</t>
  </si>
  <si>
    <t>*Refer to A.7 of CBA for eligibility and max of 10% if receiving Certified Fire Investigator Pay.</t>
  </si>
  <si>
    <t>GNM203</t>
  </si>
  <si>
    <t xml:space="preserve">ASST DIR, INTERGOVERNMENTAL RELATIONS </t>
  </si>
  <si>
    <t>Salary Year</t>
  </si>
  <si>
    <t>Fire Inspector Level 1</t>
  </si>
  <si>
    <r>
      <rPr>
        <b/>
        <sz val="10"/>
        <rFont val="Arial"/>
        <family val="2"/>
      </rPr>
      <t>Fire Inspector Level 1</t>
    </r>
    <r>
      <rPr>
        <sz val="10"/>
        <rFont val="Arial"/>
        <family val="2"/>
      </rPr>
      <t xml:space="preserve">
11+ years / Begins month 133</t>
    </r>
  </si>
  <si>
    <r>
      <rPr>
        <b/>
        <sz val="10"/>
        <rFont val="Arial"/>
        <family val="2"/>
      </rPr>
      <t xml:space="preserve">Fire Inspector Level 1 </t>
    </r>
    <r>
      <rPr>
        <sz val="10"/>
        <rFont val="Arial"/>
        <family val="2"/>
      </rPr>
      <t xml:space="preserve">
6-10 years / Begins month 73</t>
    </r>
  </si>
  <si>
    <r>
      <t xml:space="preserve">Fire Inspector Level 1
</t>
    </r>
    <r>
      <rPr>
        <sz val="10"/>
        <rFont val="Arial"/>
        <family val="2"/>
      </rPr>
      <t>1-5 years / Begins month 13</t>
    </r>
  </si>
  <si>
    <t xml:space="preserve">1123
1132
</t>
  </si>
  <si>
    <t xml:space="preserve">FireIn L2-2%
FPEX - 2%
</t>
  </si>
  <si>
    <r>
      <rPr>
        <b/>
        <sz val="10"/>
        <rFont val="Arial"/>
        <family val="2"/>
      </rPr>
      <t xml:space="preserve">Fire Inspector Level 2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Fire Plans Examiner</t>
    </r>
    <r>
      <rPr>
        <sz val="10"/>
        <rFont val="Arial"/>
        <family val="2"/>
      </rPr>
      <t xml:space="preserve">
1-5 years / Begins month 13</t>
    </r>
  </si>
  <si>
    <t>Fire Inspector Level 2 OR Fire Plans Examiner</t>
  </si>
  <si>
    <t xml:space="preserve">1124
1133
</t>
  </si>
  <si>
    <t xml:space="preserve">FireIn L2-3%
FPEX - 3%
</t>
  </si>
  <si>
    <r>
      <t>Fire Inspector Level 2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OR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Fire Plans Examiner</t>
    </r>
    <r>
      <rPr>
        <sz val="10"/>
        <rFont val="Arial"/>
        <family val="2"/>
      </rPr>
      <t xml:space="preserve">
6-10 years / Begins month 73</t>
    </r>
  </si>
  <si>
    <t xml:space="preserve">1125
1134
</t>
  </si>
  <si>
    <t xml:space="preserve">FireIn L2-4%
FPEX - 4%
</t>
  </si>
  <si>
    <r>
      <rPr>
        <b/>
        <sz val="10"/>
        <rFont val="Arial"/>
        <family val="2"/>
      </rPr>
      <t>Fire Inspector Level 2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Fire Plans Examiner</t>
    </r>
    <r>
      <rPr>
        <sz val="10"/>
        <rFont val="Arial"/>
        <family val="2"/>
      </rPr>
      <t xml:space="preserve">
11+ years / Begins month 133</t>
    </r>
  </si>
  <si>
    <t xml:space="preserve">Advanced Plans Examination Pay </t>
  </si>
  <si>
    <t>HNT</t>
  </si>
  <si>
    <t>SWAT</t>
  </si>
  <si>
    <t>POLICE SERGEANT PREMIUM AMT</t>
  </si>
  <si>
    <t>REVIEW &amp; INSPECTION SUPERVISOR</t>
  </si>
  <si>
    <t>D</t>
  </si>
  <si>
    <t>C/D</t>
  </si>
  <si>
    <t>W01</t>
  </si>
  <si>
    <t>JRW201</t>
  </si>
  <si>
    <t>ASSISTANT POLICE CHIEF</t>
  </si>
  <si>
    <t>SUPPORTED EMPLOYMENT AIDE</t>
  </si>
  <si>
    <t>ENGINEERING SUPERVISOR, TRANSPORTATION</t>
  </si>
  <si>
    <t>TELEMETRY TECHNICIAN LEAD</t>
  </si>
  <si>
    <t>ENG218</t>
  </si>
  <si>
    <t>ANG611</t>
  </si>
  <si>
    <t>ENG310</t>
  </si>
  <si>
    <t>MRB809</t>
  </si>
  <si>
    <t>B45</t>
  </si>
  <si>
    <t>ENG219</t>
  </si>
  <si>
    <t>RIGHT OF WAY MANAGER</t>
  </si>
  <si>
    <t>*Title change to Police Sergeant from Police Lieutenant eff Aug. 2016.</t>
  </si>
  <si>
    <t>ENG220</t>
  </si>
  <si>
    <t>SCADA &amp; OPERATIONS SUPERVISOR</t>
  </si>
  <si>
    <t>CONSTRUCTION PROJECT INSPECTOR - LEAD</t>
  </si>
  <si>
    <t>2018 COLA</t>
  </si>
  <si>
    <t>2018 Adj</t>
  </si>
  <si>
    <t>2018: CPI 2.7 + 0.5 Mkt</t>
  </si>
  <si>
    <t>POLICE SERGEANT</t>
  </si>
  <si>
    <t>DIVERSITY, INCLUSION &amp; OUTREACH ADMINISTRATOR</t>
  </si>
  <si>
    <t>ANG222</t>
  </si>
  <si>
    <t>JNG304</t>
  </si>
  <si>
    <t>MNG213</t>
  </si>
  <si>
    <t>FLEET &amp; COMMUNICATIONS PROGRAM MANAGER</t>
  </si>
  <si>
    <t>ANM203</t>
  </si>
  <si>
    <t>ASST DIR, CITY MANAGER'S OFFICE</t>
  </si>
  <si>
    <t>TRANSPORTATION PRINCIPAL PLANNER</t>
  </si>
  <si>
    <t>PRINCIPAL PLANNER</t>
  </si>
  <si>
    <t>DNG231</t>
  </si>
  <si>
    <t>PRD624</t>
  </si>
  <si>
    <t>POLICE DATA QUALITY SPECIALIST</t>
  </si>
  <si>
    <t>PRD625</t>
  </si>
  <si>
    <t>PRD626</t>
  </si>
  <si>
    <t>POLICE PROPERTY EVIDENCE TECH</t>
  </si>
  <si>
    <t>POLICE SUPPORT SR ACCTG ASSC*</t>
  </si>
  <si>
    <t>PRD306</t>
  </si>
  <si>
    <t xml:space="preserve">*Effective Jan. 1, 2017 the Police Support Sr Acctg Assoc classification pay range change to D46.  </t>
  </si>
  <si>
    <t>Eff 2/1/17 PS Sr Acctg Assoc moved to d46 pay range w Admin asst</t>
  </si>
  <si>
    <t>POLICE FORENSIC TECHNICIAN</t>
  </si>
  <si>
    <t>LEAD POLICE DATA QUALITY SPCLST</t>
  </si>
  <si>
    <t>2018 FIRE BATTALION CHIEF PREMIUM PAYS</t>
  </si>
  <si>
    <t>DRAFT</t>
  </si>
  <si>
    <t xml:space="preserve">BATTALION CHIEF PREMIUM AMT </t>
  </si>
  <si>
    <t>Education AA or AS Degree</t>
  </si>
  <si>
    <t xml:space="preserve">BA or BS </t>
  </si>
  <si>
    <t>Master's of Art or Sciences Degree</t>
  </si>
  <si>
    <t>Completion of Exec Fire Officer (EFO Program, National Fire Academy</t>
  </si>
  <si>
    <t>LONGF&gt;15yrs</t>
  </si>
  <si>
    <t>Longevity @ 6% (month 181)</t>
  </si>
  <si>
    <t>LONGF&gt;20yrs</t>
  </si>
  <si>
    <t>Longevity @ 8% (month 241)</t>
  </si>
  <si>
    <t>LONGF&gt;25yrs</t>
  </si>
  <si>
    <t>Longevity @ 10.5% (month 301)</t>
  </si>
  <si>
    <t>LONGF&gt;30yrs</t>
  </si>
  <si>
    <t>Longevity @ 13.5% (month 361)</t>
  </si>
  <si>
    <t>LONGF&gt;35yrs</t>
  </si>
  <si>
    <t>Longevity @ 14.5% (month 421)</t>
  </si>
  <si>
    <t>LONGF&gt;40yrs</t>
  </si>
  <si>
    <t>Longevity @ 15.5% (month 481)</t>
  </si>
  <si>
    <t>Entry</t>
  </si>
  <si>
    <t>6 mo</t>
  </si>
  <si>
    <t>18 mo</t>
  </si>
  <si>
    <t>30 mo</t>
  </si>
  <si>
    <t>42 mo (3.5 yrs)</t>
  </si>
  <si>
    <t>116.25% of top step FF</t>
  </si>
  <si>
    <t>eff 1/1/18</t>
  </si>
  <si>
    <t>127.88% of top step FF</t>
  </si>
  <si>
    <t>110% of Lieutenant</t>
  </si>
  <si>
    <t>% of Lt</t>
  </si>
  <si>
    <t>140.66% of top step FF</t>
  </si>
  <si>
    <t>Premium Pay (Add to Pay)</t>
  </si>
  <si>
    <t>% OF STEP 5 FF</t>
  </si>
  <si>
    <t>Breathing Apparatus Repair Spec</t>
  </si>
  <si>
    <r>
      <t xml:space="preserve">Breathing Apparatus Repair </t>
    </r>
    <r>
      <rPr>
        <b/>
        <sz val="10"/>
        <rFont val="Arial"/>
        <family val="2"/>
      </rPr>
      <t xml:space="preserve">Lead </t>
    </r>
  </si>
  <si>
    <t xml:space="preserve">Remaining to add: </t>
  </si>
  <si>
    <t>Add to Pay Map/Prefire Specialist</t>
  </si>
  <si>
    <t>Truck Pay % based on wage</t>
  </si>
  <si>
    <t>HAZMAT Specialist</t>
  </si>
  <si>
    <r>
      <t xml:space="preserve">Add to Pay Paramedic Trainee
      </t>
    </r>
    <r>
      <rPr>
        <i/>
        <sz val="10"/>
        <color rgb="FFFF0000"/>
        <rFont val="Arial"/>
        <family val="2"/>
      </rPr>
      <t>Ends by July 31, 2018</t>
    </r>
  </si>
  <si>
    <r>
      <t xml:space="preserve">Tiller Operator - </t>
    </r>
    <r>
      <rPr>
        <i/>
        <sz val="10"/>
        <rFont val="Arial"/>
        <family val="2"/>
      </rPr>
      <t>ONLY for hours assigned and applicable only to rank of Firefighter.</t>
    </r>
  </si>
  <si>
    <t>Paid on Hourly Basis</t>
  </si>
  <si>
    <t>CPR Instructor Pay</t>
  </si>
  <si>
    <t>Truck 2.5%</t>
  </si>
  <si>
    <t>Technical Rescue Specialty Lead</t>
  </si>
  <si>
    <t>LONGF&gt;5yrs</t>
  </si>
  <si>
    <t>LONGF&gt;10yrs</t>
  </si>
  <si>
    <t>Longevity @ 3% (month 121)</t>
  </si>
  <si>
    <t>EDPARAMEDIC (Educ Incentive)</t>
  </si>
  <si>
    <r>
      <t>STEP</t>
    </r>
    <r>
      <rPr>
        <b/>
        <sz val="10"/>
        <color rgb="FFFF0000"/>
        <rFont val="Times New Roman"/>
        <family val="1"/>
      </rPr>
      <t xml:space="preserve">  2018 Rates Shown / Agmt Expires 12/31/2018. </t>
    </r>
  </si>
  <si>
    <r>
      <t xml:space="preserve">STEP  </t>
    </r>
    <r>
      <rPr>
        <b/>
        <sz val="10"/>
        <color rgb="FFFF0000"/>
        <rFont val="Times New Roman"/>
        <family val="1"/>
      </rPr>
      <t xml:space="preserve">2018 Rates Shown / Agmt Expires 12/31/2018. </t>
    </r>
  </si>
  <si>
    <t>`</t>
  </si>
  <si>
    <t xml:space="preserve">Classification no longer used eff 12/31/18 </t>
  </si>
  <si>
    <t>2019 GSA</t>
  </si>
  <si>
    <t>2019 Salary Change</t>
  </si>
  <si>
    <t>2019 Firefighter 
Premium Pay Rates</t>
  </si>
  <si>
    <t>Technical Rescue Specialties for Leads</t>
  </si>
  <si>
    <t>ANG223</t>
  </si>
  <si>
    <t>TRANSPORTATION TECHNOLOGY PARTNERSHIPS MGR</t>
  </si>
  <si>
    <t>FIRE PLAN REVIEWER (pos end date 12/31/18)</t>
  </si>
  <si>
    <t>ENG221</t>
  </si>
  <si>
    <t>ENG222</t>
  </si>
  <si>
    <t>TRANSPORATION MATERIALS PROGRAM MANAGER</t>
  </si>
  <si>
    <t>ENG224</t>
  </si>
  <si>
    <t>IT SECURITY SOLUTIONS ARCHITECT</t>
  </si>
  <si>
    <t>ENG223</t>
  </si>
  <si>
    <t>PRINCIPAL ENGINEER</t>
  </si>
  <si>
    <t>RNG212</t>
  </si>
  <si>
    <t>PARKS PLANNING AND DEVELOPMENT MANAGER</t>
  </si>
  <si>
    <r>
      <t xml:space="preserve">STEP </t>
    </r>
    <r>
      <rPr>
        <b/>
        <sz val="9"/>
        <color rgb="FFFF0000"/>
        <rFont val="Times New Roman"/>
        <family val="1"/>
      </rPr>
      <t>2018 Rates Shown - Agmt expired 12/31/18</t>
    </r>
  </si>
  <si>
    <t>DIRECTOR, FINANCE AND ASSET MANAGEMENT</t>
  </si>
  <si>
    <t>BNE102</t>
  </si>
  <si>
    <t>GNE103</t>
  </si>
  <si>
    <t>DIRECTOR, COMMUNITY DEVELOPMENT</t>
  </si>
  <si>
    <t>DNE103</t>
  </si>
  <si>
    <t>XNE103</t>
  </si>
  <si>
    <t>ASSISTANT CITY MANAGER</t>
  </si>
  <si>
    <t>ING253</t>
  </si>
  <si>
    <t>SENIOR TRANSPORTATION ANALYST</t>
  </si>
  <si>
    <t>DNG232</t>
  </si>
  <si>
    <t>DNM204</t>
  </si>
  <si>
    <t>ASST DIR, COMMUNITY DEVELOPMENT</t>
  </si>
  <si>
    <r>
      <t xml:space="preserve">STEP </t>
    </r>
    <r>
      <rPr>
        <b/>
        <sz val="10"/>
        <color rgb="FFFF0000"/>
        <rFont val="Times New Roman"/>
        <family val="1"/>
      </rPr>
      <t xml:space="preserve">2018 Rates Shown / Agmt Expires 12/31/2018. </t>
    </r>
  </si>
  <si>
    <t>COLA eff 1/1/19 by Ord for PayPlan _____</t>
  </si>
  <si>
    <t>Merit Inc eff 1/1/19 (per Ord # TBD / Date TBD)</t>
  </si>
  <si>
    <t>PNG205</t>
  </si>
  <si>
    <t xml:space="preserve">2019 GSA </t>
  </si>
  <si>
    <t>Education Premiums (Article 12.B and Appendix B)</t>
  </si>
  <si>
    <t xml:space="preserve">EDUCATION </t>
  </si>
  <si>
    <t>PREMIUM AMOUNT</t>
  </si>
  <si>
    <t>TOP STEP</t>
  </si>
  <si>
    <t>Associate's Degree (90 credits)
(Includes 135 credits)</t>
  </si>
  <si>
    <t>Bachelor's Degree (BA or BS)</t>
  </si>
  <si>
    <t>Longevity Premiums (Article 12.C)</t>
  </si>
  <si>
    <t>Upon successful completion of FTO</t>
  </si>
  <si>
    <t>$1,000 one-time gross wage lump sum</t>
  </si>
  <si>
    <t>Upon successful completion of 3 years of service.</t>
  </si>
  <si>
    <t>YEARS OF COMPLETED SERVICE</t>
  </si>
  <si>
    <t xml:space="preserve">% OF TOP STEP OFFICER </t>
  </si>
  <si>
    <t>5 years</t>
  </si>
  <si>
    <t>10 years</t>
  </si>
  <si>
    <t>15 years</t>
  </si>
  <si>
    <t>20 years</t>
  </si>
  <si>
    <t>25 years</t>
  </si>
  <si>
    <t>30 years</t>
  </si>
  <si>
    <t>Premium Pay (Article 12.F)</t>
  </si>
  <si>
    <t>Bicycle Unit</t>
  </si>
  <si>
    <t>Bomb Squad</t>
  </si>
  <si>
    <t>Collision Investigation</t>
  </si>
  <si>
    <t>Crisis Response Team</t>
  </si>
  <si>
    <t>K-9 (Dog Handlers Only)</t>
  </si>
  <si>
    <t>FTO/K9 Sergeant</t>
  </si>
  <si>
    <t>Professional Standards Sergeant</t>
  </si>
  <si>
    <t>Patrol Incentive Pay (Article 12.E)</t>
  </si>
  <si>
    <t>Employees assigned to patrol squads who are at the top step of the officer pay range, or are a corporal or sergeant - based on regular shift assignment. % is based on employee's base rate of pay.</t>
  </si>
  <si>
    <t>SHIFT</t>
  </si>
  <si>
    <t>Patrol Incentive %</t>
  </si>
  <si>
    <t>Fouth Shift - A &amp; B</t>
  </si>
  <si>
    <t>Third Shift - A &amp; B</t>
  </si>
  <si>
    <t>Second Shift - A &amp; B</t>
  </si>
  <si>
    <t>Downtown Unit Officers &amp; Corporals with hours that most closely resemble Third (3rd) Shift hours</t>
  </si>
  <si>
    <t>Downtown Unit Officers &amp; Corporals with hours that most closely resemble Second (2nd) Shift hours</t>
  </si>
  <si>
    <r>
      <t>Downtown Unit Sergeant</t>
    </r>
    <r>
      <rPr>
        <sz val="9"/>
        <rFont val="Arial"/>
        <family val="2"/>
      </rPr>
      <t xml:space="preserve">
(If the Sergeant does not receive the Bicycle Unit Premium Pay)</t>
    </r>
  </si>
  <si>
    <t>INTELLIGENT TRANSPORTATION SYSTEMS MGR</t>
  </si>
  <si>
    <t>2019 Police Officers Guild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</si>
</sst>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0.0%"/>
    <numFmt numFmtId="168" formatCode="00"/>
    <numFmt numFmtId="169" formatCode="_(&quot;$&quot;* #,##0.0000_);_(&quot;$&quot;* \(#,##0.0000\);_(&quot;$&quot;* &quot;-&quot;??_);_(@_)"/>
    <numFmt numFmtId="170" formatCode="&quot;$&quot;#,##0.0000"/>
    <numFmt numFmtId="171" formatCode="0.000%"/>
    <numFmt numFmtId="172" formatCode="0.0000%"/>
    <numFmt numFmtId="173" formatCode="0.0000"/>
    <numFmt numFmtId="174" formatCode="0.000"/>
    <numFmt numFmtId="175" formatCode="&quot;$&quot;#,##0.0"/>
  </numFmts>
  <fonts count="4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Helv"/>
    </font>
    <font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rgb="FFFF0000"/>
      <name val="Arial"/>
      <family val="2"/>
    </font>
    <font>
      <sz val="10"/>
      <color theme="5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theme="1"/>
      <name val="Times New Roman"/>
      <family val="1"/>
    </font>
    <font>
      <sz val="22"/>
      <color rgb="FFFF0000"/>
      <name val="Arial"/>
      <family val="2"/>
    </font>
    <font>
      <sz val="10"/>
      <color theme="0" tint="-0.249977111117893"/>
      <name val="Times New Roman"/>
      <family val="1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10"/>
      <color rgb="FFFF0000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10" fontId="0" fillId="0" borderId="0" xfId="13" applyNumberFormat="1" applyFont="1" applyFill="1" applyAlignment="1">
      <alignment horizontal="center"/>
    </xf>
    <xf numFmtId="44" fontId="2" fillId="0" borderId="0" xfId="3" quotePrefix="1" applyFont="1" applyAlignment="1">
      <alignment horizontal="center" vertical="center"/>
    </xf>
    <xf numFmtId="0" fontId="3" fillId="0" borderId="0" xfId="11" applyFont="1"/>
    <xf numFmtId="0" fontId="3" fillId="0" borderId="1" xfId="11" applyFont="1" applyBorder="1" applyAlignment="1">
      <alignment horizontal="center"/>
    </xf>
    <xf numFmtId="0" fontId="3" fillId="0" borderId="1" xfId="11" quotePrefix="1" applyFont="1" applyBorder="1" applyAlignment="1">
      <alignment horizontal="left"/>
    </xf>
    <xf numFmtId="167" fontId="3" fillId="0" borderId="1" xfId="13" applyNumberFormat="1" applyFont="1" applyBorder="1" applyAlignment="1">
      <alignment horizontal="center"/>
    </xf>
    <xf numFmtId="0" fontId="3" fillId="0" borderId="2" xfId="11" applyFont="1" applyBorder="1" applyAlignment="1">
      <alignment horizontal="center" vertical="center"/>
    </xf>
    <xf numFmtId="167" fontId="3" fillId="0" borderId="2" xfId="13" applyNumberFormat="1" applyFont="1" applyBorder="1" applyAlignment="1">
      <alignment horizontal="center" vertical="center"/>
    </xf>
    <xf numFmtId="0" fontId="3" fillId="0" borderId="0" xfId="11" applyFont="1" applyAlignment="1">
      <alignment vertical="center"/>
    </xf>
    <xf numFmtId="0" fontId="3" fillId="0" borderId="3" xfId="11" applyFont="1" applyBorder="1" applyAlignment="1">
      <alignment horizontal="center"/>
    </xf>
    <xf numFmtId="0" fontId="3" fillId="0" borderId="3" xfId="11" applyFont="1" applyBorder="1" applyAlignment="1">
      <alignment horizontal="left"/>
    </xf>
    <xf numFmtId="0" fontId="3" fillId="0" borderId="3" xfId="11" quotePrefix="1" applyFont="1" applyBorder="1" applyAlignment="1">
      <alignment horizontal="left"/>
    </xf>
    <xf numFmtId="167" fontId="3" fillId="0" borderId="3" xfId="13" applyNumberFormat="1" applyFont="1" applyBorder="1" applyAlignment="1">
      <alignment horizontal="center"/>
    </xf>
    <xf numFmtId="0" fontId="3" fillId="0" borderId="0" xfId="11" applyFont="1" applyBorder="1" applyAlignment="1">
      <alignment horizontal="center"/>
    </xf>
    <xf numFmtId="0" fontId="3" fillId="0" borderId="0" xfId="11" quotePrefix="1" applyFont="1" applyBorder="1" applyAlignment="1">
      <alignment horizontal="left"/>
    </xf>
    <xf numFmtId="167" fontId="3" fillId="0" borderId="0" xfId="13" applyNumberFormat="1" applyFont="1" applyBorder="1" applyAlignment="1">
      <alignment horizontal="center"/>
    </xf>
    <xf numFmtId="44" fontId="3" fillId="0" borderId="0" xfId="3" applyFont="1" applyBorder="1"/>
    <xf numFmtId="0" fontId="3" fillId="0" borderId="0" xfId="11" applyFont="1" applyAlignment="1">
      <alignment horizontal="center"/>
    </xf>
    <xf numFmtId="167" fontId="3" fillId="0" borderId="0" xfId="13" applyNumberFormat="1" applyFont="1" applyAlignment="1">
      <alignment horizontal="center"/>
    </xf>
    <xf numFmtId="44" fontId="3" fillId="0" borderId="0" xfId="3" applyFont="1"/>
    <xf numFmtId="166" fontId="3" fillId="0" borderId="0" xfId="3" applyNumberFormat="1" applyFont="1"/>
    <xf numFmtId="0" fontId="2" fillId="0" borderId="4" xfId="11" applyFont="1" applyBorder="1" applyAlignment="1">
      <alignment horizontal="center" vertical="center"/>
    </xf>
    <xf numFmtId="167" fontId="2" fillId="0" borderId="4" xfId="13" quotePrefix="1" applyNumberFormat="1" applyFont="1" applyBorder="1" applyAlignment="1">
      <alignment horizontal="center" vertical="center" wrapText="1"/>
    </xf>
    <xf numFmtId="44" fontId="2" fillId="0" borderId="0" xfId="3" applyFont="1" applyBorder="1" applyAlignment="1">
      <alignment horizontal="center" vertical="center"/>
    </xf>
    <xf numFmtId="166" fontId="2" fillId="0" borderId="0" xfId="3" quotePrefix="1" applyNumberFormat="1" applyFont="1" applyAlignment="1">
      <alignment horizontal="center" vertical="center"/>
    </xf>
    <xf numFmtId="44" fontId="3" fillId="0" borderId="0" xfId="3" applyFont="1" applyBorder="1" applyAlignment="1">
      <alignment horizontal="center"/>
    </xf>
    <xf numFmtId="44" fontId="3" fillId="0" borderId="0" xfId="3" applyFont="1" applyBorder="1" applyAlignment="1">
      <alignment vertical="center"/>
    </xf>
    <xf numFmtId="166" fontId="3" fillId="0" borderId="0" xfId="3" applyNumberFormat="1" applyFont="1" applyAlignment="1">
      <alignment vertical="center"/>
    </xf>
    <xf numFmtId="0" fontId="3" fillId="0" borderId="0" xfId="11" applyFont="1" applyAlignment="1">
      <alignment horizontal="left"/>
    </xf>
    <xf numFmtId="44" fontId="2" fillId="0" borderId="0" xfId="3" quotePrefix="1" applyFont="1" applyBorder="1" applyAlignment="1">
      <alignment vertical="center"/>
    </xf>
    <xf numFmtId="44" fontId="3" fillId="0" borderId="0" xfId="3" applyNumberFormat="1" applyFont="1"/>
    <xf numFmtId="44" fontId="2" fillId="0" borderId="0" xfId="3" quotePrefix="1" applyFont="1" applyBorder="1" applyAlignment="1">
      <alignment horizontal="center" vertical="center"/>
    </xf>
    <xf numFmtId="167" fontId="3" fillId="0" borderId="0" xfId="13" applyNumberFormat="1" applyFont="1" applyBorder="1" applyAlignment="1">
      <alignment horizontal="center" vertical="center"/>
    </xf>
    <xf numFmtId="44" fontId="3" fillId="0" borderId="0" xfId="3" applyFont="1" applyBorder="1" applyAlignment="1">
      <alignment horizontal="center" vertical="center"/>
    </xf>
    <xf numFmtId="0" fontId="3" fillId="0" borderId="2" xfId="11" applyFont="1" applyBorder="1" applyAlignment="1">
      <alignment horizontal="left" vertical="center" inden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4" fontId="3" fillId="0" borderId="0" xfId="3" applyFont="1" applyAlignment="1">
      <alignment vertical="center"/>
    </xf>
    <xf numFmtId="167" fontId="3" fillId="0" borderId="5" xfId="13" applyNumberFormat="1" applyFont="1" applyBorder="1" applyAlignment="1">
      <alignment horizontal="center" vertical="center"/>
    </xf>
    <xf numFmtId="44" fontId="3" fillId="0" borderId="0" xfId="3" applyFont="1" applyFill="1"/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" fillId="0" borderId="0" xfId="6" applyFont="1" applyAlignment="1" applyProtection="1"/>
    <xf numFmtId="49" fontId="0" fillId="0" borderId="0" xfId="0" applyNumberFormat="1" applyBorder="1" applyAlignment="1">
      <alignment horizontal="center" vertical="center"/>
    </xf>
    <xf numFmtId="0" fontId="2" fillId="0" borderId="10" xfId="11" quotePrefix="1" applyFont="1" applyBorder="1" applyAlignment="1">
      <alignment horizontal="center" vertical="center"/>
    </xf>
    <xf numFmtId="0" fontId="2" fillId="0" borderId="11" xfId="11" applyFont="1" applyBorder="1" applyAlignment="1">
      <alignment horizontal="center" vertical="center"/>
    </xf>
    <xf numFmtId="167" fontId="2" fillId="0" borderId="11" xfId="13" applyNumberFormat="1" applyFont="1" applyBorder="1" applyAlignment="1">
      <alignment horizontal="center" vertical="center" wrapText="1"/>
    </xf>
    <xf numFmtId="44" fontId="2" fillId="0" borderId="12" xfId="3" applyFont="1" applyBorder="1" applyAlignment="1">
      <alignment horizontal="center" vertical="center" wrapText="1"/>
    </xf>
    <xf numFmtId="0" fontId="3" fillId="0" borderId="5" xfId="11" applyFont="1" applyBorder="1" applyAlignment="1">
      <alignment horizontal="center"/>
    </xf>
    <xf numFmtId="0" fontId="0" fillId="0" borderId="5" xfId="0" applyNumberFormat="1" applyBorder="1" applyAlignment="1">
      <alignment horizontal="center" vertical="center"/>
    </xf>
    <xf numFmtId="9" fontId="3" fillId="0" borderId="5" xfId="3" applyNumberFormat="1" applyFont="1" applyBorder="1" applyAlignment="1">
      <alignment horizontal="center" vertical="center"/>
    </xf>
    <xf numFmtId="0" fontId="3" fillId="0" borderId="13" xfId="11" applyFont="1" applyBorder="1" applyAlignment="1">
      <alignment horizontal="center"/>
    </xf>
    <xf numFmtId="167" fontId="3" fillId="0" borderId="13" xfId="13" applyNumberFormat="1" applyFont="1" applyBorder="1" applyAlignment="1">
      <alignment horizontal="center"/>
    </xf>
    <xf numFmtId="9" fontId="3" fillId="0" borderId="13" xfId="3" applyNumberFormat="1" applyFont="1" applyBorder="1" applyAlignment="1">
      <alignment horizontal="center"/>
    </xf>
    <xf numFmtId="0" fontId="2" fillId="0" borderId="11" xfId="1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6" applyFont="1" applyFill="1" applyAlignment="1" applyProtection="1">
      <alignment horizontal="center"/>
    </xf>
    <xf numFmtId="44" fontId="1" fillId="0" borderId="0" xfId="6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44" fontId="3" fillId="0" borderId="0" xfId="3" applyFont="1" applyFill="1" applyBorder="1" applyAlignment="1">
      <alignment vertical="center"/>
    </xf>
    <xf numFmtId="0" fontId="3" fillId="0" borderId="0" xfId="6" applyFont="1" applyAlignment="1" applyProtection="1"/>
    <xf numFmtId="0" fontId="9" fillId="0" borderId="0" xfId="0" applyFont="1" applyFill="1"/>
    <xf numFmtId="0" fontId="3" fillId="0" borderId="0" xfId="11" applyFont="1" applyFill="1" applyBorder="1" applyAlignment="1">
      <alignment horizontal="center" vertical="center"/>
    </xf>
    <xf numFmtId="44" fontId="2" fillId="0" borderId="14" xfId="3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 vertical="center" indent="1"/>
    </xf>
    <xf numFmtId="44" fontId="3" fillId="0" borderId="2" xfId="3" applyFont="1" applyFill="1" applyBorder="1" applyAlignment="1">
      <alignment vertical="center"/>
    </xf>
    <xf numFmtId="0" fontId="0" fillId="0" borderId="3" xfId="0" applyNumberFormat="1" applyFill="1" applyBorder="1" applyAlignment="1">
      <alignment horizontal="center" vertical="center"/>
    </xf>
    <xf numFmtId="44" fontId="3" fillId="0" borderId="3" xfId="3" applyFont="1" applyFill="1" applyBorder="1" applyAlignment="1">
      <alignment vertical="center"/>
    </xf>
    <xf numFmtId="167" fontId="3" fillId="0" borderId="0" xfId="13" applyNumberFormat="1" applyFont="1" applyFill="1" applyBorder="1" applyAlignment="1">
      <alignment horizontal="center"/>
    </xf>
    <xf numFmtId="0" fontId="3" fillId="0" borderId="0" xfId="11" applyFont="1" applyFill="1" applyBorder="1"/>
    <xf numFmtId="0" fontId="2" fillId="0" borderId="4" xfId="11" applyFont="1" applyFill="1" applyBorder="1" applyAlignment="1">
      <alignment horizontal="center" vertical="center" wrapText="1"/>
    </xf>
    <xf numFmtId="167" fontId="2" fillId="0" borderId="4" xfId="13" quotePrefix="1" applyNumberFormat="1" applyFont="1" applyFill="1" applyBorder="1" applyAlignment="1">
      <alignment horizontal="center" vertical="center" wrapText="1"/>
    </xf>
    <xf numFmtId="44" fontId="2" fillId="0" borderId="4" xfId="3" applyFont="1" applyFill="1" applyBorder="1" applyAlignment="1">
      <alignment horizontal="center" vertical="center" wrapText="1"/>
    </xf>
    <xf numFmtId="44" fontId="9" fillId="0" borderId="0" xfId="3" quotePrefix="1" applyFont="1" applyFill="1" applyBorder="1" applyAlignment="1">
      <alignment vertical="center"/>
    </xf>
    <xf numFmtId="44" fontId="15" fillId="0" borderId="0" xfId="3" applyFont="1" applyFill="1" applyBorder="1" applyAlignment="1">
      <alignment horizontal="center" vertical="center"/>
    </xf>
    <xf numFmtId="0" fontId="15" fillId="0" borderId="0" xfId="11" applyFont="1" applyFill="1" applyBorder="1" applyAlignment="1">
      <alignment vertical="center"/>
    </xf>
    <xf numFmtId="167" fontId="3" fillId="0" borderId="5" xfId="13" applyNumberFormat="1" applyFont="1" applyFill="1" applyBorder="1" applyAlignment="1">
      <alignment horizontal="center" vertical="center"/>
    </xf>
    <xf numFmtId="44" fontId="3" fillId="0" borderId="20" xfId="3" applyFont="1" applyFill="1" applyBorder="1" applyAlignment="1">
      <alignment vertical="center"/>
    </xf>
    <xf numFmtId="0" fontId="3" fillId="0" borderId="0" xfId="11" applyFont="1" applyFill="1"/>
    <xf numFmtId="49" fontId="0" fillId="0" borderId="2" xfId="0" applyNumberFormat="1" applyFill="1" applyBorder="1" applyAlignment="1">
      <alignment horizontal="left" vertical="center"/>
    </xf>
    <xf numFmtId="0" fontId="3" fillId="0" borderId="0" xfId="11" applyFont="1" applyFill="1" applyAlignment="1">
      <alignment horizontal="center"/>
    </xf>
    <xf numFmtId="167" fontId="3" fillId="0" borderId="0" xfId="13" applyNumberFormat="1" applyFont="1" applyFill="1" applyAlignment="1">
      <alignment horizontal="center"/>
    </xf>
    <xf numFmtId="44" fontId="2" fillId="0" borderId="16" xfId="3" applyFont="1" applyFill="1" applyBorder="1" applyAlignment="1">
      <alignment horizontal="center" vertical="center"/>
    </xf>
    <xf numFmtId="44" fontId="2" fillId="0" borderId="27" xfId="3" applyFont="1" applyFill="1" applyBorder="1" applyAlignment="1">
      <alignment horizontal="center" vertical="center"/>
    </xf>
    <xf numFmtId="44" fontId="3" fillId="0" borderId="23" xfId="3" applyFont="1" applyFill="1" applyBorder="1" applyAlignment="1">
      <alignment vertical="center"/>
    </xf>
    <xf numFmtId="0" fontId="3" fillId="0" borderId="3" xfId="11" applyFont="1" applyFill="1" applyBorder="1" applyAlignment="1">
      <alignment horizontal="center"/>
    </xf>
    <xf numFmtId="44" fontId="2" fillId="0" borderId="19" xfId="3" applyFont="1" applyFill="1" applyBorder="1" applyAlignment="1">
      <alignment horizontal="center" vertical="center"/>
    </xf>
    <xf numFmtId="44" fontId="2" fillId="0" borderId="5" xfId="3" applyFont="1" applyFill="1" applyBorder="1" applyAlignment="1">
      <alignment horizontal="center" vertical="center"/>
    </xf>
    <xf numFmtId="44" fontId="2" fillId="0" borderId="29" xfId="3" quotePrefix="1" applyFont="1" applyFill="1" applyBorder="1" applyAlignment="1">
      <alignment horizontal="center" vertical="center"/>
    </xf>
    <xf numFmtId="44" fontId="3" fillId="0" borderId="21" xfId="3" applyNumberFormat="1" applyFont="1" applyFill="1" applyBorder="1" applyAlignment="1">
      <alignment horizontal="center" vertical="center"/>
    </xf>
    <xf numFmtId="44" fontId="3" fillId="0" borderId="22" xfId="3" applyNumberFormat="1" applyFont="1" applyFill="1" applyBorder="1" applyAlignment="1">
      <alignment horizontal="center" vertical="center"/>
    </xf>
    <xf numFmtId="44" fontId="3" fillId="0" borderId="28" xfId="3" applyNumberFormat="1" applyFont="1" applyFill="1" applyBorder="1" applyAlignment="1">
      <alignment horizontal="center" vertical="center"/>
    </xf>
    <xf numFmtId="0" fontId="3" fillId="0" borderId="16" xfId="11" applyFont="1" applyFill="1" applyBorder="1" applyAlignment="1">
      <alignment horizontal="center" vertical="center"/>
    </xf>
    <xf numFmtId="0" fontId="3" fillId="0" borderId="17" xfId="11" applyFont="1" applyFill="1" applyBorder="1" applyAlignment="1">
      <alignment horizontal="left" vertical="center"/>
    </xf>
    <xf numFmtId="167" fontId="3" fillId="0" borderId="17" xfId="13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5" xfId="11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1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67" fontId="3" fillId="0" borderId="0" xfId="13" applyNumberFormat="1" applyFont="1" applyFill="1" applyBorder="1" applyAlignment="1">
      <alignment horizontal="left" vertical="center"/>
    </xf>
    <xf numFmtId="0" fontId="3" fillId="0" borderId="22" xfId="11" applyFont="1" applyFill="1" applyBorder="1" applyAlignment="1">
      <alignment horizontal="left" vertical="center"/>
    </xf>
    <xf numFmtId="0" fontId="3" fillId="0" borderId="0" xfId="11" applyFont="1" applyFill="1" applyAlignment="1">
      <alignment horizontal="right"/>
    </xf>
    <xf numFmtId="167" fontId="3" fillId="0" borderId="0" xfId="13" applyNumberFormat="1" applyFont="1" applyFill="1" applyAlignment="1">
      <alignment horizontal="right"/>
    </xf>
    <xf numFmtId="49" fontId="0" fillId="0" borderId="0" xfId="0" applyNumberFormat="1" applyFill="1" applyBorder="1" applyAlignment="1">
      <alignment vertical="center"/>
    </xf>
    <xf numFmtId="44" fontId="2" fillId="0" borderId="0" xfId="3" quotePrefix="1" applyFont="1" applyFill="1" applyAlignment="1">
      <alignment horizontal="center" vertical="center"/>
    </xf>
    <xf numFmtId="0" fontId="3" fillId="0" borderId="2" xfId="11" quotePrefix="1" applyFont="1" applyFill="1" applyBorder="1" applyAlignment="1">
      <alignment horizontal="center" vertical="center"/>
    </xf>
    <xf numFmtId="0" fontId="2" fillId="0" borderId="15" xfId="11" applyFont="1" applyFill="1" applyBorder="1" applyAlignment="1">
      <alignment horizontal="center" vertical="center"/>
    </xf>
    <xf numFmtId="44" fontId="2" fillId="0" borderId="4" xfId="3" quotePrefix="1" applyFont="1" applyFill="1" applyBorder="1" applyAlignment="1">
      <alignment horizontal="center" vertical="center" wrapText="1"/>
    </xf>
    <xf numFmtId="0" fontId="3" fillId="0" borderId="14" xfId="11" applyFont="1" applyFill="1" applyBorder="1" applyAlignment="1">
      <alignment horizontal="center" vertical="center"/>
    </xf>
    <xf numFmtId="0" fontId="3" fillId="0" borderId="14" xfId="11" quotePrefix="1" applyFont="1" applyFill="1" applyBorder="1" applyAlignment="1">
      <alignment horizontal="center" vertical="center"/>
    </xf>
    <xf numFmtId="0" fontId="3" fillId="0" borderId="14" xfId="11" quotePrefix="1" applyFont="1" applyFill="1" applyBorder="1" applyAlignment="1">
      <alignment horizontal="left" vertical="center"/>
    </xf>
    <xf numFmtId="44" fontId="3" fillId="0" borderId="35" xfId="3" applyFont="1" applyFill="1" applyBorder="1" applyAlignment="1">
      <alignment horizontal="center"/>
    </xf>
    <xf numFmtId="44" fontId="3" fillId="0" borderId="14" xfId="3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67" fontId="3" fillId="0" borderId="29" xfId="13" applyNumberFormat="1" applyFont="1" applyFill="1" applyBorder="1" applyAlignment="1">
      <alignment horizontal="center" vertical="center"/>
    </xf>
    <xf numFmtId="0" fontId="3" fillId="0" borderId="3" xfId="11" applyFont="1" applyFill="1" applyBorder="1" applyAlignment="1">
      <alignment horizontal="center" vertical="center"/>
    </xf>
    <xf numFmtId="0" fontId="3" fillId="0" borderId="3" xfId="11" quotePrefix="1" applyFont="1" applyFill="1" applyBorder="1" applyAlignment="1">
      <alignment horizontal="left" vertical="center"/>
    </xf>
    <xf numFmtId="167" fontId="3" fillId="0" borderId="28" xfId="13" applyNumberFormat="1" applyFont="1" applyFill="1" applyBorder="1" applyAlignment="1">
      <alignment horizontal="center" vertical="center"/>
    </xf>
    <xf numFmtId="0" fontId="3" fillId="0" borderId="3" xfId="11" quotePrefix="1" applyFont="1" applyFill="1" applyBorder="1" applyAlignment="1">
      <alignment horizontal="left"/>
    </xf>
    <xf numFmtId="167" fontId="3" fillId="0" borderId="28" xfId="13" applyNumberFormat="1" applyFont="1" applyFill="1" applyBorder="1" applyAlignment="1">
      <alignment horizontal="center"/>
    </xf>
    <xf numFmtId="44" fontId="3" fillId="0" borderId="3" xfId="3" applyFont="1" applyFill="1" applyBorder="1"/>
    <xf numFmtId="166" fontId="3" fillId="0" borderId="0" xfId="3" applyNumberFormat="1" applyFont="1" applyFill="1"/>
    <xf numFmtId="0" fontId="15" fillId="0" borderId="3" xfId="1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vertical="center"/>
    </xf>
    <xf numFmtId="0" fontId="15" fillId="0" borderId="3" xfId="11" applyFont="1" applyFill="1" applyBorder="1" applyAlignment="1">
      <alignment horizontal="left" vertical="center" wrapText="1"/>
    </xf>
    <xf numFmtId="167" fontId="15" fillId="0" borderId="3" xfId="13" applyNumberFormat="1" applyFont="1" applyFill="1" applyBorder="1" applyAlignment="1">
      <alignment horizontal="center" vertical="center"/>
    </xf>
    <xf numFmtId="44" fontId="15" fillId="0" borderId="21" xfId="3" applyFont="1" applyFill="1" applyBorder="1" applyAlignment="1">
      <alignment vertical="center"/>
    </xf>
    <xf numFmtId="44" fontId="15" fillId="0" borderId="22" xfId="3" applyFont="1" applyFill="1" applyBorder="1" applyAlignment="1">
      <alignment vertical="center"/>
    </xf>
    <xf numFmtId="44" fontId="15" fillId="0" borderId="47" xfId="3" applyFont="1" applyFill="1" applyBorder="1" applyAlignment="1">
      <alignment vertical="center"/>
    </xf>
    <xf numFmtId="44" fontId="15" fillId="0" borderId="28" xfId="3" applyFont="1" applyFill="1" applyBorder="1" applyAlignment="1">
      <alignment vertical="center"/>
    </xf>
    <xf numFmtId="0" fontId="3" fillId="0" borderId="3" xfId="11" applyFont="1" applyFill="1" applyBorder="1" applyAlignment="1">
      <alignment horizontal="center"/>
    </xf>
    <xf numFmtId="0" fontId="2" fillId="0" borderId="4" xfId="11" applyFont="1" applyFill="1" applyBorder="1" applyAlignment="1">
      <alignment horizontal="center" vertical="center"/>
    </xf>
    <xf numFmtId="0" fontId="3" fillId="0" borderId="3" xfId="11" applyFont="1" applyFill="1" applyBorder="1" applyAlignment="1">
      <alignment horizontal="left" indent="1"/>
    </xf>
    <xf numFmtId="0" fontId="3" fillId="0" borderId="3" xfId="11" quotePrefix="1" applyFont="1" applyFill="1" applyBorder="1" applyAlignment="1">
      <alignment horizontal="left" indent="1"/>
    </xf>
    <xf numFmtId="167" fontId="3" fillId="0" borderId="3" xfId="13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1" fillId="0" borderId="29" xfId="0" applyNumberFormat="1" applyFont="1" applyFill="1" applyBorder="1" applyAlignment="1">
      <alignment horizontal="left"/>
    </xf>
    <xf numFmtId="0" fontId="3" fillId="0" borderId="30" xfId="11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67" fontId="3" fillId="0" borderId="2" xfId="13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2" fillId="0" borderId="0" xfId="0" applyFont="1" applyFill="1"/>
    <xf numFmtId="167" fontId="3" fillId="0" borderId="22" xfId="1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Alignment="1"/>
    <xf numFmtId="169" fontId="18" fillId="0" borderId="0" xfId="3" applyNumberFormat="1" applyFont="1"/>
    <xf numFmtId="10" fontId="19" fillId="0" borderId="0" xfId="0" applyNumberFormat="1" applyFont="1"/>
    <xf numFmtId="0" fontId="19" fillId="0" borderId="0" xfId="0" applyFont="1"/>
    <xf numFmtId="3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quotePrefix="1" applyFont="1" applyFill="1" applyAlignment="1">
      <alignment horizontal="left"/>
    </xf>
    <xf numFmtId="164" fontId="19" fillId="0" borderId="0" xfId="1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44" fontId="19" fillId="0" borderId="0" xfId="3" applyFont="1" applyFill="1"/>
    <xf numFmtId="164" fontId="19" fillId="0" borderId="0" xfId="0" applyNumberFormat="1" applyFont="1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0" fontId="19" fillId="0" borderId="0" xfId="0" quotePrefix="1" applyFont="1" applyFill="1" applyAlignment="1">
      <alignment horizontal="right"/>
    </xf>
    <xf numFmtId="0" fontId="20" fillId="0" borderId="0" xfId="0" applyFont="1" applyFill="1"/>
    <xf numFmtId="0" fontId="18" fillId="0" borderId="0" xfId="0" applyFont="1"/>
    <xf numFmtId="173" fontId="18" fillId="0" borderId="0" xfId="3" quotePrefix="1" applyNumberFormat="1" applyFont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8" fillId="0" borderId="0" xfId="0" quotePrefix="1" applyNumberFormat="1" applyFont="1" applyAlignment="1">
      <alignment horizontal="center" vertical="center" wrapText="1"/>
    </xf>
    <xf numFmtId="0" fontId="19" fillId="0" borderId="0" xfId="0" quotePrefix="1" applyFont="1" applyFill="1" applyAlignment="1">
      <alignment horizontal="center"/>
    </xf>
    <xf numFmtId="0" fontId="19" fillId="0" borderId="0" xfId="0" quotePrefix="1" applyFont="1" applyFill="1" applyBorder="1" applyAlignment="1">
      <alignment horizontal="center" vertical="center" wrapText="1"/>
    </xf>
    <xf numFmtId="44" fontId="19" fillId="0" borderId="0" xfId="3" applyNumberFormat="1" applyFont="1" applyFill="1"/>
    <xf numFmtId="0" fontId="19" fillId="0" borderId="0" xfId="0" applyFont="1" applyFill="1" applyAlignment="1">
      <alignment horizontal="right"/>
    </xf>
    <xf numFmtId="10" fontId="19" fillId="0" borderId="0" xfId="13" applyNumberFormat="1" applyFont="1" applyFill="1" applyAlignment="1">
      <alignment horizontal="center"/>
    </xf>
    <xf numFmtId="168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9" fillId="0" borderId="0" xfId="0" quotePrefix="1" applyFont="1" applyAlignment="1">
      <alignment horizontal="left"/>
    </xf>
    <xf numFmtId="0" fontId="18" fillId="0" borderId="0" xfId="8" applyFont="1" applyFill="1"/>
    <xf numFmtId="0" fontId="18" fillId="0" borderId="0" xfId="8" applyFont="1"/>
    <xf numFmtId="173" fontId="18" fillId="0" borderId="0" xfId="13" applyNumberFormat="1" applyFont="1"/>
    <xf numFmtId="0" fontId="18" fillId="0" borderId="0" xfId="14" applyFont="1"/>
    <xf numFmtId="3" fontId="18" fillId="0" borderId="0" xfId="8" applyNumberFormat="1" applyFont="1" applyFill="1" applyAlignment="1">
      <alignment horizontal="center" vertical="center" wrapText="1"/>
    </xf>
    <xf numFmtId="0" fontId="18" fillId="0" borderId="0" xfId="8" applyFont="1" applyAlignment="1">
      <alignment horizontal="center" vertical="center" wrapText="1"/>
    </xf>
    <xf numFmtId="0" fontId="18" fillId="0" borderId="0" xfId="14" applyFont="1" applyAlignment="1">
      <alignment horizontal="center" vertical="center" wrapText="1"/>
    </xf>
    <xf numFmtId="3" fontId="18" fillId="0" borderId="0" xfId="14" quotePrefix="1" applyNumberFormat="1" applyFont="1" applyAlignment="1">
      <alignment horizontal="center" vertical="center" wrapText="1"/>
    </xf>
    <xf numFmtId="0" fontId="19" fillId="0" borderId="0" xfId="7" quotePrefix="1" applyFont="1" applyFill="1" applyAlignment="1">
      <alignment horizontal="center"/>
    </xf>
    <xf numFmtId="0" fontId="21" fillId="0" borderId="0" xfId="8" applyFont="1" applyFill="1"/>
    <xf numFmtId="8" fontId="19" fillId="0" borderId="0" xfId="7" applyNumberFormat="1" applyFont="1" applyFill="1" applyAlignment="1">
      <alignment horizontal="center"/>
    </xf>
    <xf numFmtId="0" fontId="19" fillId="0" borderId="0" xfId="7" applyFont="1" applyFill="1"/>
    <xf numFmtId="0" fontId="19" fillId="0" borderId="0" xfId="7" applyFont="1"/>
    <xf numFmtId="0" fontId="19" fillId="0" borderId="0" xfId="14" applyFont="1" applyAlignment="1">
      <alignment horizontal="right"/>
    </xf>
    <xf numFmtId="10" fontId="19" fillId="0" borderId="0" xfId="13" applyNumberFormat="1" applyFont="1" applyAlignment="1">
      <alignment horizontal="center"/>
    </xf>
    <xf numFmtId="0" fontId="19" fillId="0" borderId="0" xfId="8" applyFont="1"/>
    <xf numFmtId="0" fontId="19" fillId="0" borderId="0" xfId="7" applyFont="1" applyFill="1" applyAlignment="1">
      <alignment horizontal="center"/>
    </xf>
    <xf numFmtId="0" fontId="19" fillId="0" borderId="0" xfId="7" quotePrefix="1" applyFont="1" applyFill="1" applyAlignment="1">
      <alignment horizontal="left"/>
    </xf>
    <xf numFmtId="8" fontId="19" fillId="0" borderId="0" xfId="14" applyNumberFormat="1" applyFont="1" applyFill="1" applyAlignment="1">
      <alignment horizontal="center"/>
    </xf>
    <xf numFmtId="0" fontId="19" fillId="0" borderId="0" xfId="14" applyFont="1"/>
    <xf numFmtId="0" fontId="19" fillId="0" borderId="0" xfId="7" applyFont="1" applyFill="1" applyAlignment="1">
      <alignment horizontal="left"/>
    </xf>
    <xf numFmtId="0" fontId="19" fillId="0" borderId="0" xfId="8" applyFont="1" applyFill="1"/>
    <xf numFmtId="0" fontId="21" fillId="0" borderId="0" xfId="7" quotePrefix="1" applyFont="1" applyFill="1" applyAlignment="1">
      <alignment horizontal="left"/>
    </xf>
    <xf numFmtId="0" fontId="21" fillId="0" borderId="0" xfId="7" applyFont="1" applyFill="1"/>
    <xf numFmtId="0" fontId="19" fillId="0" borderId="0" xfId="8" applyFont="1" applyAlignment="1">
      <alignment horizontal="center"/>
    </xf>
    <xf numFmtId="8" fontId="19" fillId="0" borderId="0" xfId="10" applyNumberFormat="1" applyFont="1" applyFill="1" applyAlignment="1">
      <alignment horizontal="center"/>
    </xf>
    <xf numFmtId="165" fontId="19" fillId="0" borderId="0" xfId="8" applyNumberFormat="1" applyFont="1" applyFill="1" applyAlignment="1">
      <alignment horizontal="center"/>
    </xf>
    <xf numFmtId="164" fontId="19" fillId="0" borderId="0" xfId="8" applyNumberFormat="1" applyFont="1" applyFill="1" applyAlignment="1">
      <alignment horizontal="center"/>
    </xf>
    <xf numFmtId="0" fontId="19" fillId="0" borderId="0" xfId="7" quotePrefix="1" applyFont="1" applyAlignment="1">
      <alignment horizontal="center"/>
    </xf>
    <xf numFmtId="0" fontId="19" fillId="4" borderId="0" xfId="7" applyFont="1" applyFill="1"/>
    <xf numFmtId="0" fontId="19" fillId="0" borderId="0" xfId="7" applyFont="1" applyAlignment="1">
      <alignment horizontal="center"/>
    </xf>
    <xf numFmtId="0" fontId="19" fillId="4" borderId="0" xfId="7" quotePrefix="1" applyFont="1" applyFill="1" applyAlignment="1">
      <alignment horizontal="left"/>
    </xf>
    <xf numFmtId="14" fontId="18" fillId="4" borderId="0" xfId="8" applyNumberFormat="1" applyFont="1" applyFill="1" applyAlignment="1">
      <alignment horizontal="left"/>
    </xf>
    <xf numFmtId="0" fontId="19" fillId="0" borderId="0" xfId="8" quotePrefix="1" applyFont="1" applyFill="1" applyAlignment="1">
      <alignment horizontal="center"/>
    </xf>
    <xf numFmtId="0" fontId="18" fillId="0" borderId="0" xfId="0" quotePrefix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0" fontId="18" fillId="0" borderId="0" xfId="13" applyNumberFormat="1" applyFont="1" applyAlignment="1">
      <alignment horizontal="center" vertical="center" wrapText="1"/>
    </xf>
    <xf numFmtId="164" fontId="19" fillId="0" borderId="0" xfId="3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164" fontId="19" fillId="0" borderId="0" xfId="1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quotePrefix="1" applyFont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/>
    </xf>
    <xf numFmtId="0" fontId="18" fillId="0" borderId="0" xfId="0" applyFont="1" applyFill="1"/>
    <xf numFmtId="3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71" fontId="18" fillId="0" borderId="0" xfId="13" applyNumberFormat="1" applyFont="1" applyAlignment="1">
      <alignment horizontal="center" vertical="center" wrapText="1"/>
    </xf>
    <xf numFmtId="164" fontId="19" fillId="0" borderId="0" xfId="3" applyNumberFormat="1" applyFont="1" applyFill="1" applyAlignment="1">
      <alignment horizontal="center"/>
    </xf>
    <xf numFmtId="7" fontId="19" fillId="0" borderId="0" xfId="3" applyNumberFormat="1" applyFont="1" applyAlignment="1">
      <alignment horizontal="center"/>
    </xf>
    <xf numFmtId="10" fontId="19" fillId="0" borderId="0" xfId="13" applyNumberFormat="1" applyFont="1"/>
    <xf numFmtId="44" fontId="19" fillId="0" borderId="0" xfId="3" applyFont="1"/>
    <xf numFmtId="44" fontId="19" fillId="0" borderId="0" xfId="3" applyFont="1" applyFill="1" applyAlignment="1">
      <alignment horizontal="center"/>
    </xf>
    <xf numFmtId="0" fontId="18" fillId="0" borderId="0" xfId="0" applyFont="1" applyFill="1" applyAlignment="1"/>
    <xf numFmtId="0" fontId="18" fillId="0" borderId="0" xfId="0" quotePrefix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0" fontId="19" fillId="0" borderId="0" xfId="0" applyFont="1" applyFill="1" applyAlignment="1"/>
    <xf numFmtId="0" fontId="18" fillId="0" borderId="0" xfId="13" applyNumberFormat="1" applyFont="1" applyFill="1" applyAlignment="1">
      <alignment horizontal="center" vertical="center" wrapText="1"/>
    </xf>
    <xf numFmtId="0" fontId="19" fillId="0" borderId="0" xfId="0" quotePrefix="1" applyFont="1" applyFill="1" applyBorder="1" applyAlignment="1">
      <alignment horizontal="center"/>
    </xf>
    <xf numFmtId="164" fontId="19" fillId="0" borderId="0" xfId="3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164" fontId="19" fillId="0" borderId="0" xfId="13" applyNumberFormat="1" applyFont="1" applyFill="1"/>
    <xf numFmtId="0" fontId="19" fillId="0" borderId="0" xfId="0" applyFont="1" applyFill="1" applyAlignment="1">
      <alignment horizontal="left"/>
    </xf>
    <xf numFmtId="9" fontId="19" fillId="0" borderId="0" xfId="13" applyFont="1" applyFill="1"/>
    <xf numFmtId="0" fontId="19" fillId="0" borderId="0" xfId="0" applyFont="1" applyFill="1" applyBorder="1"/>
    <xf numFmtId="164" fontId="19" fillId="0" borderId="0" xfId="0" applyNumberFormat="1" applyFont="1" applyFill="1"/>
    <xf numFmtId="0" fontId="19" fillId="0" borderId="0" xfId="0" applyFont="1" applyFill="1" applyProtection="1"/>
    <xf numFmtId="0" fontId="19" fillId="0" borderId="0" xfId="0" applyFont="1" applyFill="1" applyAlignment="1" applyProtection="1">
      <alignment horizontal="center"/>
    </xf>
    <xf numFmtId="0" fontId="19" fillId="0" borderId="0" xfId="0" quotePrefix="1" applyFont="1" applyFill="1" applyBorder="1" applyAlignment="1" applyProtection="1">
      <alignment horizontal="center"/>
    </xf>
    <xf numFmtId="0" fontId="19" fillId="0" borderId="0" xfId="0" quotePrefix="1" applyFont="1" applyFill="1" applyAlignment="1" applyProtection="1">
      <alignment horizontal="left"/>
    </xf>
    <xf numFmtId="164" fontId="19" fillId="0" borderId="0" xfId="0" applyNumberFormat="1" applyFont="1" applyFill="1" applyAlignment="1" applyProtection="1">
      <alignment horizontal="center"/>
    </xf>
    <xf numFmtId="0" fontId="25" fillId="0" borderId="0" xfId="0" applyFont="1" applyFill="1" applyAlignment="1">
      <alignment horizontal="left"/>
    </xf>
    <xf numFmtId="0" fontId="18" fillId="0" borderId="0" xfId="14" applyFont="1" applyFill="1"/>
    <xf numFmtId="0" fontId="18" fillId="0" borderId="0" xfId="14" applyFont="1" applyFill="1" applyAlignment="1">
      <alignment horizontal="center"/>
    </xf>
    <xf numFmtId="3" fontId="18" fillId="0" borderId="0" xfId="14" applyNumberFormat="1" applyFont="1" applyFill="1" applyAlignment="1">
      <alignment horizontal="center" vertical="center" wrapText="1"/>
    </xf>
    <xf numFmtId="0" fontId="18" fillId="0" borderId="0" xfId="14" applyFont="1" applyFill="1" applyAlignment="1">
      <alignment horizontal="center" vertical="center" wrapText="1"/>
    </xf>
    <xf numFmtId="173" fontId="18" fillId="0" borderId="0" xfId="15" applyNumberFormat="1" applyFont="1" applyFill="1" applyAlignment="1">
      <alignment horizontal="center" vertical="center" wrapText="1"/>
    </xf>
    <xf numFmtId="3" fontId="18" fillId="0" borderId="0" xfId="14" quotePrefix="1" applyNumberFormat="1" applyFont="1" applyFill="1" applyAlignment="1">
      <alignment horizontal="center" vertical="center" wrapText="1"/>
    </xf>
    <xf numFmtId="0" fontId="19" fillId="0" borderId="0" xfId="14" applyFont="1" applyFill="1" applyAlignment="1">
      <alignment horizontal="center"/>
    </xf>
    <xf numFmtId="0" fontId="19" fillId="0" borderId="0" xfId="14" quotePrefix="1" applyFont="1" applyFill="1" applyAlignment="1">
      <alignment horizontal="left"/>
    </xf>
    <xf numFmtId="0" fontId="19" fillId="0" borderId="0" xfId="14" applyFont="1" applyFill="1"/>
    <xf numFmtId="0" fontId="19" fillId="0" borderId="0" xfId="14" applyFont="1" applyFill="1" applyAlignment="1">
      <alignment horizontal="right"/>
    </xf>
    <xf numFmtId="10" fontId="19" fillId="0" borderId="0" xfId="15" applyNumberFormat="1" applyFont="1" applyFill="1" applyAlignment="1">
      <alignment horizontal="center"/>
    </xf>
    <xf numFmtId="0" fontId="19" fillId="0" borderId="0" xfId="14" quotePrefix="1" applyFont="1" applyFill="1" applyAlignment="1">
      <alignment horizontal="center"/>
    </xf>
    <xf numFmtId="9" fontId="19" fillId="0" borderId="0" xfId="14" quotePrefix="1" applyNumberFormat="1" applyFont="1" applyFill="1" applyAlignment="1">
      <alignment horizontal="left"/>
    </xf>
    <xf numFmtId="8" fontId="19" fillId="0" borderId="0" xfId="14" applyNumberFormat="1" applyFont="1" applyFill="1"/>
    <xf numFmtId="10" fontId="19" fillId="0" borderId="0" xfId="14" applyNumberFormat="1" applyFont="1" applyFill="1" applyAlignment="1">
      <alignment horizontal="left"/>
    </xf>
    <xf numFmtId="8" fontId="20" fillId="0" borderId="0" xfId="10" applyNumberFormat="1" applyFont="1" applyFill="1" applyAlignment="1">
      <alignment horizontal="left"/>
    </xf>
    <xf numFmtId="0" fontId="24" fillId="0" borderId="0" xfId="14" applyFont="1" applyFill="1"/>
    <xf numFmtId="165" fontId="19" fillId="0" borderId="0" xfId="10" applyNumberFormat="1" applyFont="1" applyFill="1" applyAlignment="1">
      <alignment horizontal="center"/>
    </xf>
    <xf numFmtId="165" fontId="19" fillId="0" borderId="0" xfId="14" applyNumberFormat="1" applyFont="1" applyAlignment="1">
      <alignment horizontal="center"/>
    </xf>
    <xf numFmtId="164" fontId="19" fillId="0" borderId="0" xfId="14" applyNumberFormat="1" applyFont="1" applyAlignment="1">
      <alignment horizontal="center"/>
    </xf>
    <xf numFmtId="0" fontId="19" fillId="0" borderId="0" xfId="14" applyFont="1" applyAlignment="1">
      <alignment horizontal="center"/>
    </xf>
    <xf numFmtId="0" fontId="18" fillId="0" borderId="0" xfId="0" applyFont="1" applyFill="1" applyAlignment="1">
      <alignment horizontal="center"/>
    </xf>
    <xf numFmtId="173" fontId="18" fillId="0" borderId="0" xfId="0" applyNumberFormat="1" applyFont="1" applyFill="1" applyAlignment="1">
      <alignment horizontal="center" vertical="center" wrapText="1"/>
    </xf>
    <xf numFmtId="8" fontId="19" fillId="0" borderId="0" xfId="0" applyNumberFormat="1" applyFont="1" applyFill="1" applyAlignment="1">
      <alignment horizontal="center"/>
    </xf>
    <xf numFmtId="0" fontId="24" fillId="0" borderId="0" xfId="0" applyFont="1" applyFill="1" applyAlignment="1"/>
    <xf numFmtId="0" fontId="24" fillId="0" borderId="0" xfId="0" applyFont="1" applyFill="1"/>
    <xf numFmtId="10" fontId="18" fillId="0" borderId="0" xfId="0" quotePrefix="1" applyNumberFormat="1" applyFont="1" applyAlignment="1">
      <alignment horizontal="left"/>
    </xf>
    <xf numFmtId="10" fontId="18" fillId="0" borderId="0" xfId="0" quotePrefix="1" applyNumberFormat="1" applyFont="1" applyAlignment="1">
      <alignment horizontal="center"/>
    </xf>
    <xf numFmtId="10" fontId="18" fillId="0" borderId="0" xfId="13" applyNumberFormat="1" applyFont="1"/>
    <xf numFmtId="7" fontId="19" fillId="0" borderId="0" xfId="3" applyNumberFormat="1" applyFont="1" applyFill="1" applyAlignment="1">
      <alignment horizontal="center"/>
    </xf>
    <xf numFmtId="171" fontId="18" fillId="0" borderId="0" xfId="13" applyNumberFormat="1" applyFont="1" applyFill="1" applyAlignment="1">
      <alignment horizontal="center" vertical="center" wrapText="1"/>
    </xf>
    <xf numFmtId="173" fontId="18" fillId="0" borderId="0" xfId="13" applyNumberFormat="1" applyFont="1" applyFill="1" applyAlignment="1">
      <alignment horizontal="center" vertical="center" wrapText="1"/>
    </xf>
    <xf numFmtId="8" fontId="19" fillId="0" borderId="0" xfId="3" applyNumberFormat="1" applyFont="1" applyFill="1" applyAlignment="1">
      <alignment horizontal="center"/>
    </xf>
    <xf numFmtId="8" fontId="19" fillId="0" borderId="0" xfId="13" applyNumberFormat="1" applyFont="1" applyFill="1" applyAlignment="1">
      <alignment horizontal="center"/>
    </xf>
    <xf numFmtId="164" fontId="19" fillId="0" borderId="0" xfId="13" applyNumberFormat="1" applyFont="1" applyFill="1" applyAlignment="1">
      <alignment horizontal="center"/>
    </xf>
    <xf numFmtId="3" fontId="18" fillId="0" borderId="0" xfId="0" applyNumberFormat="1" applyFont="1" applyAlignment="1">
      <alignment horizontal="center" vertical="center" wrapText="1"/>
    </xf>
    <xf numFmtId="8" fontId="19" fillId="0" borderId="0" xfId="0" applyNumberFormat="1" applyFont="1" applyAlignment="1">
      <alignment horizontal="center"/>
    </xf>
    <xf numFmtId="0" fontId="19" fillId="0" borderId="0" xfId="0" quotePrefix="1" applyFont="1" applyBorder="1" applyAlignment="1">
      <alignment horizontal="center"/>
    </xf>
    <xf numFmtId="8" fontId="19" fillId="0" borderId="0" xfId="3" applyNumberFormat="1" applyFont="1" applyAlignment="1">
      <alignment horizontal="center"/>
    </xf>
    <xf numFmtId="172" fontId="18" fillId="0" borderId="0" xfId="13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/>
    <xf numFmtId="0" fontId="18" fillId="0" borderId="0" xfId="0" applyFont="1" applyAlignment="1"/>
    <xf numFmtId="0" fontId="19" fillId="0" borderId="0" xfId="14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/>
    <xf numFmtId="0" fontId="18" fillId="0" borderId="0" xfId="0" applyFont="1" applyFill="1" applyAlignment="1"/>
    <xf numFmtId="0" fontId="19" fillId="0" borderId="0" xfId="14" applyFont="1" applyFill="1" applyAlignment="1"/>
    <xf numFmtId="0" fontId="18" fillId="0" borderId="0" xfId="14" applyFont="1" applyFill="1" applyAlignment="1"/>
    <xf numFmtId="3" fontId="18" fillId="0" borderId="0" xfId="0" applyNumberFormat="1" applyFont="1" applyAlignment="1">
      <alignment horizontal="center" vertical="center" wrapText="1"/>
    </xf>
    <xf numFmtId="169" fontId="2" fillId="0" borderId="0" xfId="3" applyNumberFormat="1" applyFont="1"/>
    <xf numFmtId="0" fontId="2" fillId="0" borderId="0" xfId="14" applyFont="1"/>
    <xf numFmtId="0" fontId="2" fillId="0" borderId="0" xfId="14" applyFont="1" applyAlignment="1">
      <alignment horizontal="center" vertical="center" wrapText="1"/>
    </xf>
    <xf numFmtId="164" fontId="1" fillId="0" borderId="0" xfId="14" applyNumberFormat="1" applyFill="1" applyAlignment="1">
      <alignment horizontal="center"/>
    </xf>
    <xf numFmtId="0" fontId="1" fillId="0" borderId="0" xfId="14" applyFill="1"/>
    <xf numFmtId="0" fontId="1" fillId="0" borderId="0" xfId="14" applyFill="1" applyAlignment="1">
      <alignment horizontal="right"/>
    </xf>
    <xf numFmtId="0" fontId="1" fillId="0" borderId="0" xfId="14" applyFill="1" applyAlignment="1">
      <alignment horizontal="center"/>
    </xf>
    <xf numFmtId="164" fontId="1" fillId="0" borderId="0" xfId="10" applyNumberFormat="1" applyFont="1" applyFill="1" applyAlignment="1">
      <alignment horizontal="center"/>
    </xf>
    <xf numFmtId="0" fontId="1" fillId="0" borderId="0" xfId="14" quotePrefix="1" applyFill="1" applyAlignment="1">
      <alignment horizontal="right"/>
    </xf>
    <xf numFmtId="0" fontId="1" fillId="0" borderId="0" xfId="14"/>
    <xf numFmtId="0" fontId="1" fillId="0" borderId="0" xfId="14" applyAlignment="1">
      <alignment horizontal="center"/>
    </xf>
    <xf numFmtId="165" fontId="1" fillId="0" borderId="0" xfId="14" applyNumberFormat="1" applyFill="1" applyAlignment="1">
      <alignment horizontal="center"/>
    </xf>
    <xf numFmtId="165" fontId="1" fillId="0" borderId="0" xfId="14" applyNumberFormat="1" applyAlignment="1">
      <alignment horizontal="center"/>
    </xf>
    <xf numFmtId="3" fontId="18" fillId="0" borderId="0" xfId="14" applyNumberFormat="1" applyFont="1" applyAlignment="1">
      <alignment horizontal="center" vertical="center" wrapText="1"/>
    </xf>
    <xf numFmtId="0" fontId="19" fillId="0" borderId="0" xfId="14" quotePrefix="1" applyFont="1" applyFill="1" applyBorder="1" applyAlignment="1">
      <alignment horizontal="center" vertical="center" wrapText="1"/>
    </xf>
    <xf numFmtId="164" fontId="19" fillId="0" borderId="0" xfId="14" applyNumberFormat="1" applyFont="1" applyFill="1" applyAlignment="1">
      <alignment horizontal="center"/>
    </xf>
    <xf numFmtId="170" fontId="19" fillId="0" borderId="0" xfId="14" applyNumberFormat="1" applyFont="1" applyFill="1" applyAlignment="1">
      <alignment horizontal="center"/>
    </xf>
    <xf numFmtId="168" fontId="19" fillId="0" borderId="0" xfId="14" applyNumberFormat="1" applyFont="1" applyFill="1" applyAlignment="1">
      <alignment horizontal="center" vertical="center"/>
    </xf>
    <xf numFmtId="168" fontId="19" fillId="0" borderId="0" xfId="14" quotePrefix="1" applyNumberFormat="1" applyFont="1" applyFill="1" applyAlignment="1">
      <alignment horizontal="center" vertical="center"/>
    </xf>
    <xf numFmtId="0" fontId="26" fillId="0" borderId="0" xfId="14" applyFont="1" applyFill="1" applyAlignment="1">
      <alignment wrapText="1"/>
    </xf>
    <xf numFmtId="165" fontId="18" fillId="0" borderId="0" xfId="14" applyNumberFormat="1" applyFont="1" applyAlignment="1"/>
    <xf numFmtId="0" fontId="18" fillId="0" borderId="0" xfId="14" applyFont="1" applyAlignment="1">
      <alignment horizontal="center"/>
    </xf>
    <xf numFmtId="164" fontId="27" fillId="0" borderId="0" xfId="14" applyNumberFormat="1" applyFont="1" applyFill="1" applyAlignment="1">
      <alignment horizontal="center"/>
    </xf>
    <xf numFmtId="165" fontId="19" fillId="0" borderId="0" xfId="14" applyNumberFormat="1" applyFont="1" applyFill="1" applyAlignment="1">
      <alignment horizontal="center"/>
    </xf>
    <xf numFmtId="0" fontId="17" fillId="0" borderId="0" xfId="14" applyFont="1" applyFill="1" applyAlignment="1"/>
    <xf numFmtId="0" fontId="17" fillId="0" borderId="0" xfId="14" quotePrefix="1" applyFont="1" applyFill="1" applyAlignment="1"/>
    <xf numFmtId="0" fontId="24" fillId="0" borderId="0" xfId="14" applyFont="1" applyFill="1" applyAlignment="1"/>
    <xf numFmtId="0" fontId="1" fillId="0" borderId="5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9" fillId="0" borderId="0" xfId="0" quotePrefix="1" applyFont="1"/>
    <xf numFmtId="0" fontId="1" fillId="0" borderId="0" xfId="0" applyFont="1" applyFill="1" applyAlignment="1">
      <alignment horizontal="center"/>
    </xf>
    <xf numFmtId="0" fontId="18" fillId="0" borderId="0" xfId="14" applyFont="1" applyAlignment="1"/>
    <xf numFmtId="0" fontId="19" fillId="0" borderId="0" xfId="14" applyFont="1" applyAlignment="1"/>
    <xf numFmtId="0" fontId="18" fillId="0" borderId="0" xfId="14" applyNumberFormat="1" applyFont="1" applyAlignment="1"/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167" fontId="3" fillId="0" borderId="13" xfId="13" applyNumberFormat="1" applyFont="1" applyFill="1" applyBorder="1" applyAlignment="1">
      <alignment horizontal="center" vertical="center"/>
    </xf>
    <xf numFmtId="0" fontId="3" fillId="0" borderId="0" xfId="11" applyFont="1" applyFill="1" applyAlignment="1">
      <alignment vertical="center"/>
    </xf>
    <xf numFmtId="44" fontId="3" fillId="0" borderId="17" xfId="11" applyNumberFormat="1" applyFont="1" applyFill="1" applyBorder="1" applyAlignment="1">
      <alignment horizontal="right" vertical="center"/>
    </xf>
    <xf numFmtId="44" fontId="3" fillId="0" borderId="17" xfId="11" applyNumberFormat="1" applyFont="1" applyFill="1" applyBorder="1" applyAlignment="1">
      <alignment vertical="center"/>
    </xf>
    <xf numFmtId="44" fontId="3" fillId="0" borderId="18" xfId="3" applyFont="1" applyFill="1" applyBorder="1" applyAlignment="1">
      <alignment vertical="center"/>
    </xf>
    <xf numFmtId="44" fontId="3" fillId="0" borderId="5" xfId="11" applyNumberFormat="1" applyFont="1" applyFill="1" applyBorder="1" applyAlignment="1">
      <alignment horizontal="right" vertical="center"/>
    </xf>
    <xf numFmtId="44" fontId="3" fillId="0" borderId="5" xfId="11" applyNumberFormat="1" applyFont="1" applyFill="1" applyBorder="1" applyAlignment="1">
      <alignment vertical="center"/>
    </xf>
    <xf numFmtId="44" fontId="3" fillId="0" borderId="0" xfId="11" applyNumberFormat="1" applyFont="1" applyFill="1" applyBorder="1" applyAlignment="1">
      <alignment horizontal="right" vertical="center"/>
    </xf>
    <xf numFmtId="44" fontId="3" fillId="0" borderId="0" xfId="11" applyNumberFormat="1" applyFont="1" applyFill="1" applyBorder="1" applyAlignment="1">
      <alignment vertical="center"/>
    </xf>
    <xf numFmtId="44" fontId="3" fillId="0" borderId="7" xfId="3" applyFont="1" applyFill="1" applyBorder="1" applyAlignment="1">
      <alignment vertical="center"/>
    </xf>
    <xf numFmtId="44" fontId="3" fillId="0" borderId="13" xfId="11" applyNumberFormat="1" applyFont="1" applyFill="1" applyBorder="1" applyAlignment="1">
      <alignment horizontal="right" vertical="center"/>
    </xf>
    <xf numFmtId="44" fontId="3" fillId="0" borderId="13" xfId="11" applyNumberFormat="1" applyFont="1" applyFill="1" applyBorder="1" applyAlignment="1">
      <alignment vertical="center"/>
    </xf>
    <xf numFmtId="44" fontId="3" fillId="0" borderId="48" xfId="3" applyFont="1" applyFill="1" applyBorder="1" applyAlignment="1">
      <alignment vertical="center"/>
    </xf>
    <xf numFmtId="44" fontId="3" fillId="0" borderId="22" xfId="11" applyNumberFormat="1" applyFont="1" applyFill="1" applyBorder="1" applyAlignment="1">
      <alignment horizontal="right" vertical="center"/>
    </xf>
    <xf numFmtId="44" fontId="3" fillId="0" borderId="22" xfId="11" applyNumberFormat="1" applyFont="1" applyFill="1" applyBorder="1" applyAlignment="1">
      <alignment vertical="center"/>
    </xf>
    <xf numFmtId="44" fontId="3" fillId="0" borderId="0" xfId="11" applyNumberFormat="1" applyFont="1" applyFill="1" applyAlignment="1">
      <alignment horizontal="right"/>
    </xf>
    <xf numFmtId="44" fontId="3" fillId="0" borderId="0" xfId="11" applyNumberFormat="1" applyFont="1" applyFill="1"/>
    <xf numFmtId="0" fontId="3" fillId="0" borderId="10" xfId="11" applyFont="1" applyFill="1" applyBorder="1" applyAlignment="1">
      <alignment horizontal="center" vertical="center"/>
    </xf>
    <xf numFmtId="0" fontId="3" fillId="0" borderId="11" xfId="11" applyFont="1" applyFill="1" applyBorder="1" applyAlignment="1">
      <alignment vertical="center"/>
    </xf>
    <xf numFmtId="0" fontId="2" fillId="0" borderId="11" xfId="11" applyFont="1" applyFill="1" applyBorder="1" applyAlignment="1">
      <alignment vertical="center"/>
    </xf>
    <xf numFmtId="167" fontId="3" fillId="0" borderId="11" xfId="13" applyNumberFormat="1" applyFont="1" applyFill="1" applyBorder="1" applyAlignment="1">
      <alignment horizontal="center" vertical="center"/>
    </xf>
    <xf numFmtId="44" fontId="3" fillId="0" borderId="11" xfId="11" applyNumberFormat="1" applyFont="1" applyFill="1" applyBorder="1" applyAlignment="1">
      <alignment horizontal="right" vertical="center"/>
    </xf>
    <xf numFmtId="44" fontId="3" fillId="0" borderId="11" xfId="11" applyNumberFormat="1" applyFont="1" applyFill="1" applyBorder="1" applyAlignment="1">
      <alignment vertical="center"/>
    </xf>
    <xf numFmtId="44" fontId="3" fillId="0" borderId="12" xfId="3" applyFont="1" applyFill="1" applyBorder="1" applyAlignment="1">
      <alignment vertical="center"/>
    </xf>
    <xf numFmtId="0" fontId="1" fillId="0" borderId="10" xfId="11" applyFont="1" applyFill="1" applyBorder="1" applyAlignment="1">
      <alignment horizontal="center" vertical="center"/>
    </xf>
    <xf numFmtId="0" fontId="1" fillId="0" borderId="11" xfId="11" applyFont="1" applyFill="1" applyBorder="1" applyAlignment="1">
      <alignment vertical="center"/>
    </xf>
    <xf numFmtId="0" fontId="2" fillId="0" borderId="11" xfId="11" applyFont="1" applyFill="1" applyBorder="1" applyAlignment="1">
      <alignment vertical="center" wrapText="1"/>
    </xf>
    <xf numFmtId="0" fontId="1" fillId="0" borderId="0" xfId="11" applyFont="1" applyFill="1"/>
    <xf numFmtId="0" fontId="2" fillId="0" borderId="13" xfId="0" applyFont="1" applyFill="1" applyBorder="1" applyAlignment="1">
      <alignment horizontal="left" vertical="center" wrapText="1"/>
    </xf>
    <xf numFmtId="0" fontId="1" fillId="0" borderId="21" xfId="11" applyFont="1" applyFill="1" applyBorder="1" applyAlignment="1">
      <alignment horizontal="center" vertical="center" wrapText="1"/>
    </xf>
    <xf numFmtId="0" fontId="1" fillId="0" borderId="22" xfId="11" applyFont="1" applyFill="1" applyBorder="1" applyAlignment="1">
      <alignment horizontal="left" vertical="center" wrapText="1"/>
    </xf>
    <xf numFmtId="0" fontId="1" fillId="0" borderId="32" xfId="11" applyFont="1" applyFill="1" applyBorder="1" applyAlignment="1">
      <alignment horizontal="center" vertical="center" wrapText="1"/>
    </xf>
    <xf numFmtId="0" fontId="1" fillId="0" borderId="13" xfId="11" applyFont="1" applyFill="1" applyBorder="1" applyAlignment="1">
      <alignment horizontal="left" vertical="center" wrapText="1"/>
    </xf>
    <xf numFmtId="0" fontId="2" fillId="0" borderId="17" xfId="11" applyFont="1" applyFill="1" applyBorder="1" applyAlignment="1">
      <alignment horizontal="left" vertical="center" wrapText="1"/>
    </xf>
    <xf numFmtId="0" fontId="12" fillId="0" borderId="0" xfId="11" applyFont="1" applyFill="1" applyBorder="1" applyAlignment="1"/>
    <xf numFmtId="0" fontId="3" fillId="0" borderId="21" xfId="0" applyFont="1" applyFill="1" applyBorder="1" applyAlignment="1">
      <alignment horizontal="center" vertical="center" wrapText="1"/>
    </xf>
    <xf numFmtId="0" fontId="29" fillId="0" borderId="0" xfId="14" applyFont="1" applyFill="1" applyAlignment="1">
      <alignment vertical="center"/>
    </xf>
    <xf numFmtId="174" fontId="18" fillId="0" borderId="0" xfId="13" applyNumberFormat="1" applyFont="1" applyFill="1" applyAlignment="1">
      <alignment horizontal="center" vertical="center" wrapText="1"/>
    </xf>
    <xf numFmtId="0" fontId="19" fillId="0" borderId="0" xfId="14" applyFont="1" applyFill="1" applyAlignment="1">
      <alignment wrapText="1"/>
    </xf>
    <xf numFmtId="0" fontId="19" fillId="0" borderId="0" xfId="14" applyFont="1" applyFill="1" applyAlignment="1">
      <alignment horizontal="center"/>
    </xf>
    <xf numFmtId="0" fontId="18" fillId="0" borderId="0" xfId="14" applyFont="1" applyAlignment="1">
      <alignment horizontal="center" vertical="center" wrapText="1"/>
    </xf>
    <xf numFmtId="0" fontId="19" fillId="0" borderId="0" xfId="14" applyFont="1" applyAlignment="1">
      <alignment horizontal="center"/>
    </xf>
    <xf numFmtId="165" fontId="18" fillId="0" borderId="0" xfId="14" applyNumberFormat="1" applyFont="1" applyAlignment="1">
      <alignment horizontal="center"/>
    </xf>
    <xf numFmtId="0" fontId="19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 vertical="center" wrapText="1"/>
    </xf>
    <xf numFmtId="0" fontId="22" fillId="0" borderId="0" xfId="14" applyFont="1" applyFill="1"/>
    <xf numFmtId="174" fontId="19" fillId="0" borderId="0" xfId="0" applyNumberFormat="1" applyFont="1"/>
    <xf numFmtId="173" fontId="18" fillId="0" borderId="0" xfId="13" applyNumberFormat="1" applyFont="1" applyAlignment="1">
      <alignment horizontal="center"/>
    </xf>
    <xf numFmtId="173" fontId="19" fillId="0" borderId="0" xfId="3" applyNumberFormat="1" applyFont="1" applyFill="1" applyAlignment="1">
      <alignment horizontal="center"/>
    </xf>
    <xf numFmtId="8" fontId="19" fillId="0" borderId="0" xfId="0" applyNumberFormat="1" applyFont="1" applyFill="1"/>
    <xf numFmtId="0" fontId="19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/>
    <xf numFmtId="0" fontId="1" fillId="0" borderId="0" xfId="6" applyFont="1" applyFill="1" applyAlignment="1" applyProtection="1">
      <alignment horizontal="left"/>
    </xf>
    <xf numFmtId="44" fontId="0" fillId="0" borderId="0" xfId="3" applyNumberFormat="1" applyFont="1" applyAlignment="1">
      <alignment horizontal="center"/>
    </xf>
    <xf numFmtId="44" fontId="0" fillId="0" borderId="0" xfId="3" applyNumberFormat="1" applyFont="1" applyFill="1" applyAlignment="1">
      <alignment horizontal="center"/>
    </xf>
    <xf numFmtId="44" fontId="11" fillId="0" borderId="0" xfId="3" applyNumberFormat="1" applyFont="1" applyFill="1" applyAlignment="1">
      <alignment horizontal="center"/>
    </xf>
    <xf numFmtId="44" fontId="1" fillId="0" borderId="0" xfId="3" applyNumberFormat="1" applyFont="1" applyAlignment="1">
      <alignment horizontal="center" wrapText="1"/>
    </xf>
    <xf numFmtId="44" fontId="13" fillId="0" borderId="0" xfId="3" applyNumberFormat="1" applyFont="1" applyFill="1" applyAlignment="1">
      <alignment horizontal="center"/>
    </xf>
    <xf numFmtId="44" fontId="14" fillId="0" borderId="0" xfId="3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/>
    </xf>
    <xf numFmtId="8" fontId="18" fillId="0" borderId="0" xfId="0" applyNumberFormat="1" applyFont="1" applyAlignment="1">
      <alignment horizontal="center" vertical="center" wrapText="1"/>
    </xf>
    <xf numFmtId="8" fontId="19" fillId="0" borderId="0" xfId="0" applyNumberFormat="1" applyFont="1"/>
    <xf numFmtId="44" fontId="3" fillId="0" borderId="0" xfId="3" applyNumberFormat="1" applyFont="1" applyAlignment="1">
      <alignment vertical="center"/>
    </xf>
    <xf numFmtId="0" fontId="19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 vertical="center" wrapText="1"/>
    </xf>
    <xf numFmtId="173" fontId="18" fillId="0" borderId="0" xfId="14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10" fontId="22" fillId="0" borderId="0" xfId="13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165" fontId="2" fillId="0" borderId="0" xfId="14" applyNumberFormat="1" applyFont="1" applyAlignment="1">
      <alignment horizontal="center"/>
    </xf>
    <xf numFmtId="0" fontId="2" fillId="0" borderId="0" xfId="0" applyFont="1"/>
    <xf numFmtId="165" fontId="2" fillId="0" borderId="0" xfId="0" applyNumberFormat="1" applyFont="1" applyAlignment="1">
      <alignment horizontal="center"/>
    </xf>
    <xf numFmtId="0" fontId="2" fillId="0" borderId="0" xfId="0" applyFont="1" applyFill="1"/>
    <xf numFmtId="165" fontId="2" fillId="0" borderId="0" xfId="14" applyNumberFormat="1" applyFont="1" applyFill="1" applyAlignment="1">
      <alignment horizontal="center"/>
    </xf>
    <xf numFmtId="0" fontId="19" fillId="0" borderId="0" xfId="0" applyFont="1" applyAlignment="1"/>
    <xf numFmtId="174" fontId="19" fillId="0" borderId="0" xfId="0" applyNumberFormat="1" applyFont="1" applyAlignment="1">
      <alignment horizontal="center"/>
    </xf>
    <xf numFmtId="3" fontId="19" fillId="0" borderId="0" xfId="0" applyNumberFormat="1" applyFont="1"/>
    <xf numFmtId="3" fontId="19" fillId="0" borderId="0" xfId="3" applyNumberFormat="1" applyFont="1"/>
    <xf numFmtId="0" fontId="18" fillId="0" borderId="0" xfId="14" applyFont="1" applyAlignment="1">
      <alignment horizontal="center" vertical="center" wrapText="1"/>
    </xf>
    <xf numFmtId="0" fontId="18" fillId="0" borderId="0" xfId="8" applyFont="1" applyFill="1" applyAlignment="1">
      <alignment horizontal="center" vertical="center" wrapText="1"/>
    </xf>
    <xf numFmtId="0" fontId="19" fillId="0" borderId="0" xfId="8" applyFont="1" applyFill="1" applyAlignment="1">
      <alignment horizontal="center"/>
    </xf>
    <xf numFmtId="8" fontId="19" fillId="0" borderId="0" xfId="7" applyNumberFormat="1" applyFont="1"/>
    <xf numFmtId="0" fontId="19" fillId="0" borderId="0" xfId="14" applyFont="1" applyFill="1" applyAlignment="1">
      <alignment horizontal="center"/>
    </xf>
    <xf numFmtId="0" fontId="18" fillId="0" borderId="0" xfId="14" applyFont="1" applyAlignment="1">
      <alignment horizontal="center" vertical="center" wrapText="1"/>
    </xf>
    <xf numFmtId="0" fontId="19" fillId="0" borderId="0" xfId="14" applyFont="1" applyAlignment="1">
      <alignment horizontal="center"/>
    </xf>
    <xf numFmtId="0" fontId="18" fillId="0" borderId="0" xfId="14" applyFont="1" applyFill="1" applyAlignment="1">
      <alignment horizontal="center" vertical="center" wrapText="1"/>
    </xf>
    <xf numFmtId="0" fontId="19" fillId="0" borderId="0" xfId="14" applyFont="1" applyFill="1" applyAlignment="1"/>
    <xf numFmtId="0" fontId="18" fillId="0" borderId="0" xfId="14" applyFont="1" applyAlignment="1">
      <alignment horizontal="center"/>
    </xf>
    <xf numFmtId="171" fontId="18" fillId="0" borderId="0" xfId="0" applyNumberFormat="1" applyFont="1" applyFill="1" applyAlignment="1">
      <alignment horizontal="center"/>
    </xf>
    <xf numFmtId="167" fontId="1" fillId="0" borderId="0" xfId="13" applyNumberFormat="1" applyFont="1" applyFill="1" applyAlignment="1">
      <alignment horizontal="center"/>
    </xf>
    <xf numFmtId="0" fontId="1" fillId="0" borderId="2" xfId="11" applyFont="1" applyFill="1" applyBorder="1" applyAlignment="1">
      <alignment horizontal="center"/>
    </xf>
    <xf numFmtId="0" fontId="1" fillId="0" borderId="2" xfId="11" applyFont="1" applyFill="1" applyBorder="1" applyAlignment="1">
      <alignment horizontal="left" vertical="center" indent="1"/>
    </xf>
    <xf numFmtId="167" fontId="1" fillId="0" borderId="2" xfId="13" applyNumberFormat="1" applyFont="1" applyFill="1" applyBorder="1" applyAlignment="1">
      <alignment horizontal="center" vertical="center"/>
    </xf>
    <xf numFmtId="167" fontId="1" fillId="0" borderId="3" xfId="13" applyNumberFormat="1" applyFont="1" applyFill="1" applyBorder="1" applyAlignment="1">
      <alignment horizontal="center" vertical="center"/>
    </xf>
    <xf numFmtId="0" fontId="1" fillId="0" borderId="0" xfId="11" applyFont="1" applyAlignment="1">
      <alignment horizontal="center"/>
    </xf>
    <xf numFmtId="0" fontId="1" fillId="0" borderId="0" xfId="11" applyFont="1"/>
    <xf numFmtId="167" fontId="1" fillId="0" borderId="0" xfId="13" applyNumberFormat="1" applyFont="1" applyAlignment="1">
      <alignment horizontal="center"/>
    </xf>
    <xf numFmtId="0" fontId="1" fillId="6" borderId="2" xfId="0" applyNumberFormat="1" applyFont="1" applyFill="1" applyBorder="1" applyAlignment="1">
      <alignment horizontal="center" vertical="center"/>
    </xf>
    <xf numFmtId="0" fontId="1" fillId="6" borderId="2" xfId="11" applyFont="1" applyFill="1" applyBorder="1" applyAlignment="1">
      <alignment horizontal="left" vertical="center" indent="1"/>
    </xf>
    <xf numFmtId="49" fontId="1" fillId="6" borderId="2" xfId="0" applyNumberFormat="1" applyFont="1" applyFill="1" applyBorder="1" applyAlignment="1">
      <alignment horizontal="left" vertical="center" indent="1"/>
    </xf>
    <xf numFmtId="167" fontId="1" fillId="6" borderId="2" xfId="13" applyNumberFormat="1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left" vertical="center" wrapText="1" indent="1"/>
    </xf>
    <xf numFmtId="0" fontId="0" fillId="0" borderId="2" xfId="11" applyFont="1" applyFill="1" applyBorder="1" applyAlignment="1">
      <alignment horizontal="left" vertical="center" indent="1"/>
    </xf>
    <xf numFmtId="0" fontId="1" fillId="0" borderId="2" xfId="11" applyFont="1" applyFill="1" applyBorder="1" applyAlignment="1">
      <alignment horizontal="center" vertical="center"/>
    </xf>
    <xf numFmtId="0" fontId="1" fillId="0" borderId="2" xfId="11" quotePrefix="1" applyFont="1" applyFill="1" applyBorder="1" applyAlignment="1">
      <alignment horizontal="left" vertical="center" indent="1"/>
    </xf>
    <xf numFmtId="49" fontId="0" fillId="6" borderId="2" xfId="0" applyNumberFormat="1" applyFill="1" applyBorder="1" applyAlignment="1">
      <alignment horizontal="left" vertical="center" indent="1"/>
    </xf>
    <xf numFmtId="49" fontId="0" fillId="6" borderId="3" xfId="0" applyNumberFormat="1" applyFont="1" applyFill="1" applyBorder="1" applyAlignment="1">
      <alignment horizontal="left" vertical="center" indent="1"/>
    </xf>
    <xf numFmtId="49" fontId="0" fillId="0" borderId="3" xfId="0" applyNumberFormat="1" applyFont="1" applyFill="1" applyBorder="1" applyAlignment="1">
      <alignment horizontal="left" vertical="center" indent="1"/>
    </xf>
    <xf numFmtId="0" fontId="18" fillId="0" borderId="0" xfId="14" quotePrefix="1" applyFont="1" applyAlignment="1">
      <alignment horizontal="center"/>
    </xf>
    <xf numFmtId="0" fontId="19" fillId="0" borderId="0" xfId="14" quotePrefix="1" applyFont="1" applyAlignment="1">
      <alignment horizontal="right"/>
    </xf>
    <xf numFmtId="164" fontId="19" fillId="0" borderId="0" xfId="14" applyNumberFormat="1" applyFont="1" applyFill="1"/>
    <xf numFmtId="10" fontId="32" fillId="0" borderId="0" xfId="13" applyNumberFormat="1" applyFont="1" applyFill="1" applyAlignment="1">
      <alignment horizontal="center"/>
    </xf>
    <xf numFmtId="9" fontId="19" fillId="0" borderId="0" xfId="14" applyNumberFormat="1" applyFont="1" applyFill="1"/>
    <xf numFmtId="164" fontId="32" fillId="0" borderId="0" xfId="14" applyNumberFormat="1" applyFont="1" applyFill="1" applyAlignment="1">
      <alignment horizontal="center"/>
    </xf>
    <xf numFmtId="171" fontId="19" fillId="0" borderId="0" xfId="13" applyNumberFormat="1" applyFont="1" applyFill="1" applyAlignment="1">
      <alignment horizontal="center"/>
    </xf>
    <xf numFmtId="167" fontId="19" fillId="0" borderId="0" xfId="13" applyNumberFormat="1" applyFont="1" applyAlignment="1">
      <alignment horizontal="center"/>
    </xf>
    <xf numFmtId="10" fontId="32" fillId="0" borderId="0" xfId="13" applyNumberFormat="1" applyFont="1" applyAlignment="1">
      <alignment horizontal="center"/>
    </xf>
    <xf numFmtId="0" fontId="1" fillId="0" borderId="0" xfId="11" applyFont="1" applyBorder="1"/>
    <xf numFmtId="0" fontId="1" fillId="0" borderId="2" xfId="14" applyNumberFormat="1" applyFill="1" applyBorder="1" applyAlignment="1">
      <alignment horizontal="center" vertical="center"/>
    </xf>
    <xf numFmtId="49" fontId="1" fillId="0" borderId="2" xfId="14" applyNumberFormat="1" applyFill="1" applyBorder="1" applyAlignment="1">
      <alignment horizontal="left" vertical="center" indent="1"/>
    </xf>
    <xf numFmtId="49" fontId="1" fillId="0" borderId="2" xfId="14" applyNumberFormat="1" applyFill="1" applyBorder="1" applyAlignment="1">
      <alignment horizontal="left" vertical="center"/>
    </xf>
    <xf numFmtId="44" fontId="1" fillId="0" borderId="2" xfId="3" applyFont="1" applyFill="1" applyBorder="1" applyAlignment="1">
      <alignment vertical="center"/>
    </xf>
    <xf numFmtId="0" fontId="1" fillId="0" borderId="0" xfId="11" applyFont="1" applyFill="1" applyBorder="1"/>
    <xf numFmtId="44" fontId="1" fillId="0" borderId="0" xfId="3" applyFont="1" applyFill="1" applyBorder="1" applyAlignment="1">
      <alignment horizontal="center" vertical="center"/>
    </xf>
    <xf numFmtId="0" fontId="1" fillId="0" borderId="0" xfId="11" applyFont="1" applyFill="1" applyBorder="1" applyAlignment="1">
      <alignment vertical="center"/>
    </xf>
    <xf numFmtId="0" fontId="33" fillId="0" borderId="2" xfId="14" applyNumberFormat="1" applyFont="1" applyFill="1" applyBorder="1" applyAlignment="1">
      <alignment horizontal="center" vertical="center"/>
    </xf>
    <xf numFmtId="49" fontId="33" fillId="0" borderId="2" xfId="14" applyNumberFormat="1" applyFont="1" applyFill="1" applyBorder="1" applyAlignment="1">
      <alignment horizontal="left" vertical="center" indent="1"/>
    </xf>
    <xf numFmtId="49" fontId="33" fillId="0" borderId="2" xfId="14" applyNumberFormat="1" applyFont="1" applyFill="1" applyBorder="1" applyAlignment="1">
      <alignment horizontal="left" vertical="center" wrapText="1"/>
    </xf>
    <xf numFmtId="167" fontId="33" fillId="0" borderId="2" xfId="13" applyNumberFormat="1" applyFont="1" applyFill="1" applyBorder="1" applyAlignment="1">
      <alignment horizontal="center" vertical="center"/>
    </xf>
    <xf numFmtId="44" fontId="33" fillId="0" borderId="2" xfId="3" applyFont="1" applyFill="1" applyBorder="1" applyAlignment="1">
      <alignment vertical="center"/>
    </xf>
    <xf numFmtId="0" fontId="1" fillId="0" borderId="25" xfId="14" applyNumberFormat="1" applyFill="1" applyBorder="1" applyAlignment="1">
      <alignment horizontal="center" vertical="center"/>
    </xf>
    <xf numFmtId="49" fontId="1" fillId="0" borderId="25" xfId="14" applyNumberFormat="1" applyFill="1" applyBorder="1" applyAlignment="1">
      <alignment horizontal="left" vertical="center" indent="1"/>
    </xf>
    <xf numFmtId="49" fontId="15" fillId="0" borderId="30" xfId="14" applyNumberFormat="1" applyFont="1" applyFill="1" applyBorder="1" applyAlignment="1">
      <alignment vertical="top" wrapText="1"/>
    </xf>
    <xf numFmtId="49" fontId="15" fillId="0" borderId="49" xfId="14" applyNumberFormat="1" applyFont="1" applyFill="1" applyBorder="1" applyAlignment="1">
      <alignment vertical="top" wrapText="1"/>
    </xf>
    <xf numFmtId="49" fontId="15" fillId="0" borderId="29" xfId="14" applyNumberFormat="1" applyFont="1" applyFill="1" applyBorder="1" applyAlignment="1">
      <alignment vertical="top" wrapText="1"/>
    </xf>
    <xf numFmtId="167" fontId="1" fillId="0" borderId="25" xfId="13" applyNumberFormat="1" applyFont="1" applyFill="1" applyBorder="1" applyAlignment="1">
      <alignment horizontal="center" vertical="center"/>
    </xf>
    <xf numFmtId="44" fontId="0" fillId="0" borderId="25" xfId="3" applyFont="1" applyFill="1" applyBorder="1" applyAlignment="1">
      <alignment horizontal="center" vertical="center" wrapText="1"/>
    </xf>
    <xf numFmtId="49" fontId="1" fillId="0" borderId="25" xfId="14" applyNumberFormat="1" applyFill="1" applyBorder="1" applyAlignment="1">
      <alignment horizontal="left" vertical="center"/>
    </xf>
    <xf numFmtId="44" fontId="1" fillId="0" borderId="25" xfId="3" applyFont="1" applyFill="1" applyBorder="1" applyAlignment="1">
      <alignment vertical="center"/>
    </xf>
    <xf numFmtId="49" fontId="1" fillId="0" borderId="3" xfId="14" applyNumberFormat="1" applyFill="1" applyBorder="1" applyAlignment="1">
      <alignment horizontal="left" vertical="center" indent="1"/>
    </xf>
    <xf numFmtId="49" fontId="1" fillId="0" borderId="3" xfId="14" applyNumberFormat="1" applyFill="1" applyBorder="1" applyAlignment="1">
      <alignment horizontal="left" vertical="center"/>
    </xf>
    <xf numFmtId="44" fontId="1" fillId="0" borderId="3" xfId="3" applyFont="1" applyFill="1" applyBorder="1" applyAlignment="1">
      <alignment vertical="center"/>
    </xf>
    <xf numFmtId="0" fontId="1" fillId="0" borderId="0" xfId="14" applyNumberFormat="1" applyFill="1" applyBorder="1" applyAlignment="1">
      <alignment horizontal="center" vertical="center"/>
    </xf>
    <xf numFmtId="49" fontId="1" fillId="0" borderId="0" xfId="14" applyNumberFormat="1" applyFill="1" applyBorder="1" applyAlignment="1">
      <alignment horizontal="left" vertical="center" indent="1"/>
    </xf>
    <xf numFmtId="49" fontId="1" fillId="0" borderId="0" xfId="14" quotePrefix="1" applyNumberFormat="1" applyFill="1" applyBorder="1" applyAlignment="1">
      <alignment horizontal="left" vertical="center" indent="1"/>
    </xf>
    <xf numFmtId="167" fontId="1" fillId="0" borderId="0" xfId="13" applyNumberFormat="1" applyFont="1" applyFill="1" applyBorder="1" applyAlignment="1">
      <alignment horizontal="center" vertical="center"/>
    </xf>
    <xf numFmtId="44" fontId="1" fillId="0" borderId="0" xfId="3" applyFont="1" applyFill="1" applyBorder="1" applyAlignment="1">
      <alignment vertical="center"/>
    </xf>
    <xf numFmtId="0" fontId="1" fillId="0" borderId="0" xfId="11" applyFont="1" applyFill="1" applyBorder="1" applyAlignment="1">
      <alignment horizontal="center" vertical="center"/>
    </xf>
    <xf numFmtId="0" fontId="1" fillId="0" borderId="0" xfId="11" quotePrefix="1" applyFont="1" applyFill="1" applyBorder="1" applyAlignment="1">
      <alignment horizontal="left" vertical="center"/>
    </xf>
    <xf numFmtId="44" fontId="1" fillId="0" borderId="3" xfId="3" applyFont="1" applyFill="1" applyBorder="1" applyAlignment="1">
      <alignment horizontal="center" vertical="center"/>
    </xf>
    <xf numFmtId="0" fontId="1" fillId="0" borderId="1" xfId="14" applyNumberFormat="1" applyFill="1" applyBorder="1" applyAlignment="1">
      <alignment horizontal="center" vertical="center"/>
    </xf>
    <xf numFmtId="0" fontId="1" fillId="0" borderId="1" xfId="11" applyFont="1" applyFill="1" applyBorder="1" applyAlignment="1">
      <alignment horizontal="left" vertical="center" indent="1"/>
    </xf>
    <xf numFmtId="49" fontId="1" fillId="0" borderId="14" xfId="14" applyNumberFormat="1" applyFill="1" applyBorder="1" applyAlignment="1">
      <alignment horizontal="left" vertical="center" indent="1"/>
    </xf>
    <xf numFmtId="167" fontId="1" fillId="0" borderId="14" xfId="13" applyNumberFormat="1" applyFont="1" applyFill="1" applyBorder="1" applyAlignment="1">
      <alignment horizontal="center" vertical="center"/>
    </xf>
    <xf numFmtId="44" fontId="1" fillId="0" borderId="1" xfId="3" applyFont="1" applyFill="1" applyBorder="1" applyAlignment="1">
      <alignment vertical="center"/>
    </xf>
    <xf numFmtId="0" fontId="1" fillId="0" borderId="0" xfId="11" applyFont="1" applyBorder="1" applyAlignment="1">
      <alignment vertical="center"/>
    </xf>
    <xf numFmtId="0" fontId="1" fillId="0" borderId="3" xfId="14" applyNumberFormat="1" applyFill="1" applyBorder="1" applyAlignment="1">
      <alignment horizontal="center" vertical="center"/>
    </xf>
    <xf numFmtId="49" fontId="1" fillId="0" borderId="3" xfId="14" applyNumberFormat="1" applyFont="1" applyFill="1" applyBorder="1" applyAlignment="1">
      <alignment horizontal="left" vertical="center" indent="1"/>
    </xf>
    <xf numFmtId="0" fontId="1" fillId="0" borderId="0" xfId="11" applyFont="1" applyFill="1" applyBorder="1" applyAlignment="1">
      <alignment horizontal="center"/>
    </xf>
    <xf numFmtId="0" fontId="1" fillId="0" borderId="0" xfId="11" applyFont="1" applyFill="1" applyBorder="1" applyAlignment="1">
      <alignment horizontal="left"/>
    </xf>
    <xf numFmtId="0" fontId="1" fillId="0" borderId="0" xfId="11" quotePrefix="1" applyFont="1" applyFill="1" applyBorder="1" applyAlignment="1">
      <alignment horizontal="left"/>
    </xf>
    <xf numFmtId="167" fontId="1" fillId="0" borderId="0" xfId="13" applyNumberFormat="1" applyFont="1" applyFill="1" applyBorder="1" applyAlignment="1">
      <alignment horizontal="center"/>
    </xf>
    <xf numFmtId="44" fontId="1" fillId="0" borderId="0" xfId="3" applyFont="1" applyFill="1" applyBorder="1"/>
    <xf numFmtId="49" fontId="1" fillId="0" borderId="1" xfId="14" applyNumberFormat="1" applyFill="1" applyBorder="1" applyAlignment="1">
      <alignment horizontal="left" vertical="center" indent="1"/>
    </xf>
    <xf numFmtId="167" fontId="1" fillId="0" borderId="1" xfId="13" applyNumberFormat="1" applyFont="1" applyFill="1" applyBorder="1" applyAlignment="1">
      <alignment horizontal="center" vertical="center"/>
    </xf>
    <xf numFmtId="0" fontId="1" fillId="0" borderId="2" xfId="11" applyFont="1" applyFill="1" applyBorder="1" applyAlignment="1">
      <alignment horizontal="left" indent="1"/>
    </xf>
    <xf numFmtId="0" fontId="1" fillId="0" borderId="2" xfId="11" quotePrefix="1" applyFont="1" applyFill="1" applyBorder="1" applyAlignment="1">
      <alignment horizontal="left" indent="1"/>
    </xf>
    <xf numFmtId="167" fontId="1" fillId="0" borderId="2" xfId="13" applyNumberFormat="1" applyFont="1" applyFill="1" applyBorder="1" applyAlignment="1">
      <alignment horizontal="center"/>
    </xf>
    <xf numFmtId="44" fontId="1" fillId="0" borderId="0" xfId="11" applyNumberFormat="1" applyFont="1" applyBorder="1" applyAlignment="1">
      <alignment vertical="center"/>
    </xf>
    <xf numFmtId="44" fontId="1" fillId="0" borderId="3" xfId="3" applyNumberFormat="1" applyFont="1" applyFill="1" applyBorder="1" applyAlignment="1">
      <alignment horizontal="center" vertical="center"/>
    </xf>
    <xf numFmtId="164" fontId="1" fillId="0" borderId="3" xfId="3" applyNumberFormat="1" applyFont="1" applyFill="1" applyBorder="1" applyAlignment="1">
      <alignment horizontal="center" vertical="center"/>
    </xf>
    <xf numFmtId="164" fontId="1" fillId="0" borderId="3" xfId="9" applyNumberFormat="1" applyFont="1" applyFill="1" applyBorder="1" applyAlignment="1">
      <alignment horizontal="center" vertical="center"/>
    </xf>
    <xf numFmtId="44" fontId="35" fillId="0" borderId="3" xfId="3" applyFont="1" applyFill="1" applyBorder="1" applyAlignment="1">
      <alignment horizontal="center" vertical="center"/>
    </xf>
    <xf numFmtId="44" fontId="36" fillId="0" borderId="1" xfId="3" applyFont="1" applyFill="1" applyBorder="1" applyAlignment="1">
      <alignment vertical="center"/>
    </xf>
    <xf numFmtId="0" fontId="1" fillId="0" borderId="0" xfId="11" applyFont="1" applyBorder="1" applyAlignment="1">
      <alignment horizontal="center"/>
    </xf>
    <xf numFmtId="167" fontId="1" fillId="0" borderId="0" xfId="13" applyNumberFormat="1" applyFont="1" applyBorder="1" applyAlignment="1">
      <alignment horizontal="center"/>
    </xf>
    <xf numFmtId="44" fontId="1" fillId="0" borderId="0" xfId="3" applyFont="1" applyBorder="1"/>
    <xf numFmtId="175" fontId="19" fillId="0" borderId="0" xfId="0" applyNumberFormat="1" applyFont="1" applyFill="1" applyAlignment="1">
      <alignment horizontal="center"/>
    </xf>
    <xf numFmtId="167" fontId="19" fillId="0" borderId="0" xfId="13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/>
    <xf numFmtId="0" fontId="3" fillId="0" borderId="13" xfId="1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18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73" fontId="18" fillId="0" borderId="0" xfId="0" applyNumberFormat="1" applyFont="1" applyFill="1" applyAlignment="1">
      <alignment horizontal="center"/>
    </xf>
    <xf numFmtId="0" fontId="19" fillId="0" borderId="0" xfId="0" quotePrefix="1" applyFont="1" applyFill="1" applyBorder="1" applyAlignment="1">
      <alignment horizontal="left"/>
    </xf>
    <xf numFmtId="44" fontId="1" fillId="0" borderId="0" xfId="3" applyNumberFormat="1" applyFont="1" applyAlignment="1">
      <alignment horizontal="center"/>
    </xf>
    <xf numFmtId="173" fontId="18" fillId="0" borderId="0" xfId="0" applyNumberFormat="1" applyFont="1" applyAlignment="1">
      <alignment horizontal="center"/>
    </xf>
    <xf numFmtId="164" fontId="18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0" xfId="14" applyFont="1" applyFill="1" applyAlignment="1">
      <alignment horizontal="center"/>
    </xf>
    <xf numFmtId="0" fontId="18" fillId="0" borderId="0" xfId="14" applyFont="1" applyAlignment="1">
      <alignment horizontal="center" vertical="center" wrapText="1"/>
    </xf>
    <xf numFmtId="0" fontId="19" fillId="0" borderId="0" xfId="14" applyFont="1" applyAlignment="1">
      <alignment horizontal="center"/>
    </xf>
    <xf numFmtId="0" fontId="19" fillId="0" borderId="0" xfId="14" applyFont="1" applyFill="1" applyAlignment="1"/>
    <xf numFmtId="0" fontId="2" fillId="0" borderId="0" xfId="11" applyFont="1" applyBorder="1" applyAlignment="1">
      <alignment horizontal="center"/>
    </xf>
    <xf numFmtId="0" fontId="2" fillId="0" borderId="20" xfId="11" applyFont="1" applyBorder="1" applyAlignment="1">
      <alignment horizontal="center" vertical="center" wrapText="1"/>
    </xf>
    <xf numFmtId="0" fontId="2" fillId="0" borderId="0" xfId="11" applyFont="1" applyBorder="1" applyAlignment="1">
      <alignment horizontal="center" vertical="center" wrapText="1"/>
    </xf>
    <xf numFmtId="8" fontId="1" fillId="0" borderId="20" xfId="11" applyNumberFormat="1" applyFont="1" applyBorder="1" applyAlignment="1">
      <alignment horizontal="center" vertical="center"/>
    </xf>
    <xf numFmtId="0" fontId="2" fillId="0" borderId="0" xfId="11" applyFont="1" applyBorder="1" applyAlignment="1">
      <alignment horizontal="center" vertical="center"/>
    </xf>
    <xf numFmtId="0" fontId="1" fillId="0" borderId="19" xfId="11" applyFont="1" applyBorder="1" applyAlignment="1">
      <alignment horizontal="center"/>
    </xf>
    <xf numFmtId="0" fontId="1" fillId="0" borderId="5" xfId="11" applyFont="1" applyBorder="1" applyAlignment="1">
      <alignment horizontal="center"/>
    </xf>
    <xf numFmtId="0" fontId="1" fillId="0" borderId="5" xfId="11" applyFont="1" applyBorder="1" applyAlignment="1">
      <alignment horizontal="left" wrapText="1"/>
    </xf>
    <xf numFmtId="9" fontId="1" fillId="0" borderId="5" xfId="11" applyNumberFormat="1" applyFont="1" applyBorder="1" applyAlignment="1">
      <alignment horizontal="center"/>
    </xf>
    <xf numFmtId="8" fontId="1" fillId="0" borderId="20" xfId="11" applyNumberFormat="1" applyFont="1" applyBorder="1" applyAlignment="1">
      <alignment horizontal="center"/>
    </xf>
    <xf numFmtId="0" fontId="1" fillId="0" borderId="21" xfId="11" applyFont="1" applyBorder="1" applyAlignment="1">
      <alignment horizontal="center"/>
    </xf>
    <xf numFmtId="0" fontId="1" fillId="0" borderId="22" xfId="11" applyFont="1" applyBorder="1" applyAlignment="1">
      <alignment horizontal="center"/>
    </xf>
    <xf numFmtId="0" fontId="1" fillId="0" borderId="22" xfId="11" applyFont="1" applyBorder="1" applyAlignment="1">
      <alignment horizontal="left" wrapText="1"/>
    </xf>
    <xf numFmtId="9" fontId="1" fillId="0" borderId="22" xfId="11" applyNumberFormat="1" applyFont="1" applyBorder="1" applyAlignment="1">
      <alignment horizontal="center"/>
    </xf>
    <xf numFmtId="8" fontId="1" fillId="0" borderId="23" xfId="11" applyNumberFormat="1" applyFont="1" applyBorder="1" applyAlignment="1">
      <alignment horizontal="center"/>
    </xf>
    <xf numFmtId="0" fontId="1" fillId="7" borderId="26" xfId="11" applyFont="1" applyFill="1" applyBorder="1" applyAlignment="1">
      <alignment horizontal="center"/>
    </xf>
    <xf numFmtId="0" fontId="1" fillId="7" borderId="0" xfId="11" quotePrefix="1" applyFont="1" applyFill="1" applyBorder="1" applyAlignment="1">
      <alignment horizontal="left"/>
    </xf>
    <xf numFmtId="167" fontId="1" fillId="7" borderId="0" xfId="13" applyNumberFormat="1" applyFont="1" applyFill="1" applyBorder="1" applyAlignment="1">
      <alignment horizontal="center"/>
    </xf>
    <xf numFmtId="44" fontId="1" fillId="7" borderId="0" xfId="3" applyFont="1" applyFill="1" applyBorder="1"/>
    <xf numFmtId="44" fontId="1" fillId="0" borderId="5" xfId="3" applyFont="1" applyFill="1" applyBorder="1" applyAlignment="1"/>
    <xf numFmtId="0" fontId="1" fillId="8" borderId="26" xfId="11" applyFont="1" applyFill="1" applyBorder="1" applyAlignment="1">
      <alignment horizontal="center"/>
    </xf>
    <xf numFmtId="0" fontId="1" fillId="8" borderId="0" xfId="11" quotePrefix="1" applyFont="1" applyFill="1" applyBorder="1" applyAlignment="1">
      <alignment horizontal="left"/>
    </xf>
    <xf numFmtId="167" fontId="1" fillId="8" borderId="0" xfId="13" applyNumberFormat="1" applyFont="1" applyFill="1" applyBorder="1" applyAlignment="1">
      <alignment horizontal="center"/>
    </xf>
    <xf numFmtId="44" fontId="1" fillId="8" borderId="0" xfId="3" applyFont="1" applyFill="1" applyBorder="1"/>
    <xf numFmtId="0" fontId="1" fillId="8" borderId="0" xfId="11" applyFont="1" applyFill="1" applyBorder="1"/>
    <xf numFmtId="44" fontId="2" fillId="0" borderId="5" xfId="3" quotePrefix="1" applyFont="1" applyFill="1" applyBorder="1" applyAlignment="1">
      <alignment horizontal="center" vertical="center" wrapText="1"/>
    </xf>
    <xf numFmtId="0" fontId="9" fillId="0" borderId="0" xfId="14" applyFont="1" applyFill="1" applyBorder="1" applyAlignment="1">
      <alignment vertical="top" wrapText="1"/>
    </xf>
    <xf numFmtId="44" fontId="2" fillId="0" borderId="0" xfId="3" applyFont="1" applyFill="1" applyBorder="1" applyAlignment="1">
      <alignment horizontal="center" vertical="center"/>
    </xf>
    <xf numFmtId="8" fontId="1" fillId="0" borderId="5" xfId="3" quotePrefix="1" applyNumberFormat="1" applyFont="1" applyFill="1" applyBorder="1" applyAlignment="1">
      <alignment horizontal="center" vertical="center" wrapText="1"/>
    </xf>
    <xf numFmtId="8" fontId="1" fillId="0" borderId="0" xfId="3" applyNumberFormat="1" applyFont="1" applyFill="1" applyBorder="1" applyAlignment="1">
      <alignment horizontal="center" vertical="center"/>
    </xf>
    <xf numFmtId="0" fontId="1" fillId="0" borderId="19" xfId="11" applyFont="1" applyFill="1" applyBorder="1" applyAlignment="1">
      <alignment horizontal="center"/>
    </xf>
    <xf numFmtId="0" fontId="1" fillId="0" borderId="5" xfId="11" applyFont="1" applyFill="1" applyBorder="1" applyAlignment="1">
      <alignment horizontal="center"/>
    </xf>
    <xf numFmtId="0" fontId="1" fillId="0" borderId="51" xfId="11" quotePrefix="1" applyFont="1" applyFill="1" applyBorder="1" applyAlignment="1">
      <alignment horizontal="left" vertical="center"/>
    </xf>
    <xf numFmtId="167" fontId="1" fillId="0" borderId="5" xfId="13" quotePrefix="1" applyNumberFormat="1" applyFont="1" applyFill="1" applyBorder="1" applyAlignment="1">
      <alignment horizontal="center" vertical="center" wrapText="1"/>
    </xf>
    <xf numFmtId="44" fontId="1" fillId="0" borderId="5" xfId="3" applyFont="1" applyFill="1" applyBorder="1"/>
    <xf numFmtId="0" fontId="1" fillId="0" borderId="51" xfId="11" applyFont="1" applyBorder="1" applyAlignment="1">
      <alignment horizontal="left"/>
    </xf>
    <xf numFmtId="0" fontId="1" fillId="0" borderId="51" xfId="11" applyFont="1" applyFill="1" applyBorder="1" applyAlignment="1">
      <alignment horizontal="left"/>
    </xf>
    <xf numFmtId="167" fontId="1" fillId="0" borderId="5" xfId="13" applyNumberFormat="1" applyFont="1" applyFill="1" applyBorder="1" applyAlignment="1">
      <alignment horizontal="center"/>
    </xf>
    <xf numFmtId="0" fontId="1" fillId="0" borderId="46" xfId="11" applyFont="1" applyFill="1" applyBorder="1" applyAlignment="1">
      <alignment horizontal="center"/>
    </xf>
    <xf numFmtId="0" fontId="1" fillId="0" borderId="44" xfId="11" applyFont="1" applyFill="1" applyBorder="1"/>
    <xf numFmtId="167" fontId="1" fillId="0" borderId="44" xfId="13" applyNumberFormat="1" applyFont="1" applyFill="1" applyBorder="1" applyAlignment="1">
      <alignment horizontal="center"/>
    </xf>
    <xf numFmtId="44" fontId="1" fillId="0" borderId="44" xfId="3" applyFont="1" applyFill="1" applyBorder="1"/>
    <xf numFmtId="0" fontId="1" fillId="7" borderId="41" xfId="11" applyFont="1" applyFill="1" applyBorder="1" applyAlignment="1">
      <alignment horizontal="center"/>
    </xf>
    <xf numFmtId="0" fontId="1" fillId="7" borderId="42" xfId="11" quotePrefix="1" applyFont="1" applyFill="1" applyBorder="1" applyAlignment="1">
      <alignment horizontal="left"/>
    </xf>
    <xf numFmtId="167" fontId="1" fillId="7" borderId="42" xfId="13" applyNumberFormat="1" applyFont="1" applyFill="1" applyBorder="1" applyAlignment="1">
      <alignment horizontal="center"/>
    </xf>
    <xf numFmtId="44" fontId="1" fillId="7" borderId="42" xfId="3" applyFont="1" applyFill="1" applyBorder="1"/>
    <xf numFmtId="0" fontId="1" fillId="7" borderId="42" xfId="11" applyFont="1" applyFill="1" applyBorder="1"/>
    <xf numFmtId="0" fontId="1" fillId="0" borderId="0" xfId="11" applyFont="1" applyAlignment="1">
      <alignment vertical="center"/>
    </xf>
    <xf numFmtId="8" fontId="1" fillId="0" borderId="3" xfId="3" applyNumberFormat="1" applyFont="1" applyFill="1" applyBorder="1" applyAlignment="1">
      <alignment horizontal="center" vertical="center"/>
    </xf>
    <xf numFmtId="2" fontId="1" fillId="0" borderId="0" xfId="11" applyNumberFormat="1" applyFont="1"/>
    <xf numFmtId="0" fontId="1" fillId="0" borderId="2" xfId="14" applyFill="1" applyBorder="1" applyAlignment="1">
      <alignment horizontal="center" vertical="center"/>
    </xf>
    <xf numFmtId="49" fontId="1" fillId="0" borderId="2" xfId="14" applyNumberFormat="1" applyFill="1" applyBorder="1" applyAlignment="1">
      <alignment vertical="center"/>
    </xf>
    <xf numFmtId="49" fontId="1" fillId="0" borderId="2" xfId="14" quotePrefix="1" applyNumberFormat="1" applyFill="1" applyBorder="1" applyAlignment="1">
      <alignment horizontal="left" vertical="center" wrapText="1"/>
    </xf>
    <xf numFmtId="49" fontId="1" fillId="0" borderId="2" xfId="14" quotePrefix="1" applyNumberFormat="1" applyFont="1" applyFill="1" applyBorder="1" applyAlignment="1">
      <alignment horizontal="left" vertical="center"/>
    </xf>
    <xf numFmtId="49" fontId="1" fillId="0" borderId="2" xfId="14" quotePrefix="1" applyNumberFormat="1" applyFill="1" applyBorder="1" applyAlignment="1">
      <alignment horizontal="left" vertical="center"/>
    </xf>
    <xf numFmtId="49" fontId="1" fillId="0" borderId="25" xfId="14" applyNumberFormat="1" applyFill="1" applyBorder="1" applyAlignment="1">
      <alignment vertical="center"/>
    </xf>
    <xf numFmtId="49" fontId="1" fillId="0" borderId="3" xfId="14" quotePrefix="1" applyNumberFormat="1" applyFont="1" applyFill="1" applyBorder="1" applyAlignment="1">
      <alignment horizontal="left" vertical="center"/>
    </xf>
    <xf numFmtId="164" fontId="1" fillId="0" borderId="21" xfId="3" applyNumberFormat="1" applyFont="1" applyFill="1" applyBorder="1" applyAlignment="1">
      <alignment horizontal="center" vertical="center"/>
    </xf>
    <xf numFmtId="8" fontId="1" fillId="0" borderId="28" xfId="3" applyNumberFormat="1" applyFont="1" applyFill="1" applyBorder="1" applyAlignment="1">
      <alignment horizontal="center" vertical="center"/>
    </xf>
    <xf numFmtId="44" fontId="1" fillId="0" borderId="19" xfId="3" applyFont="1" applyFill="1" applyBorder="1" applyAlignment="1">
      <alignment vertical="center"/>
    </xf>
    <xf numFmtId="44" fontId="1" fillId="0" borderId="29" xfId="3" applyFont="1" applyFill="1" applyBorder="1" applyAlignment="1">
      <alignment vertical="center"/>
    </xf>
    <xf numFmtId="167" fontId="1" fillId="0" borderId="30" xfId="13" applyNumberFormat="1" applyFont="1" applyFill="1" applyBorder="1" applyAlignment="1">
      <alignment horizontal="center" vertical="center"/>
    </xf>
    <xf numFmtId="49" fontId="1" fillId="0" borderId="2" xfId="14" applyNumberFormat="1" applyFont="1" applyFill="1" applyBorder="1" applyAlignment="1">
      <alignment vertical="center"/>
    </xf>
    <xf numFmtId="49" fontId="1" fillId="0" borderId="3" xfId="14" applyNumberFormat="1" applyFont="1" applyFill="1" applyBorder="1" applyAlignment="1">
      <alignment vertical="center"/>
    </xf>
    <xf numFmtId="167" fontId="1" fillId="0" borderId="31" xfId="13" applyNumberFormat="1" applyFont="1" applyFill="1" applyBorder="1" applyAlignment="1">
      <alignment horizontal="center" vertical="center"/>
    </xf>
    <xf numFmtId="44" fontId="1" fillId="0" borderId="21" xfId="3" applyFont="1" applyFill="1" applyBorder="1" applyAlignment="1">
      <alignment vertical="center"/>
    </xf>
    <xf numFmtId="44" fontId="1" fillId="0" borderId="28" xfId="3" applyFont="1" applyFill="1" applyBorder="1" applyAlignment="1">
      <alignment vertical="center"/>
    </xf>
    <xf numFmtId="49" fontId="1" fillId="0" borderId="2" xfId="14" quotePrefix="1" applyNumberFormat="1" applyFont="1" applyFill="1" applyBorder="1" applyAlignment="1">
      <alignment horizontal="left" vertical="center" wrapText="1"/>
    </xf>
    <xf numFmtId="49" fontId="1" fillId="0" borderId="25" xfId="14" quotePrefix="1" applyNumberFormat="1" applyFill="1" applyBorder="1" applyAlignment="1">
      <alignment horizontal="left" vertical="center"/>
    </xf>
    <xf numFmtId="49" fontId="1" fillId="0" borderId="25" xfId="14" quotePrefix="1" applyNumberFormat="1" applyFill="1" applyBorder="1" applyAlignment="1">
      <alignment horizontal="left" vertical="center" wrapText="1"/>
    </xf>
    <xf numFmtId="49" fontId="1" fillId="0" borderId="25" xfId="14" applyNumberFormat="1" applyFill="1" applyBorder="1" applyAlignment="1">
      <alignment horizontal="left" vertical="center" wrapText="1"/>
    </xf>
    <xf numFmtId="0" fontId="1" fillId="7" borderId="0" xfId="11" applyFont="1" applyFill="1" applyAlignment="1">
      <alignment horizontal="center"/>
    </xf>
    <xf numFmtId="0" fontId="1" fillId="7" borderId="0" xfId="11" applyFont="1" applyFill="1"/>
    <xf numFmtId="167" fontId="1" fillId="7" borderId="0" xfId="13" applyNumberFormat="1" applyFont="1" applyFill="1" applyAlignment="1">
      <alignment horizontal="center"/>
    </xf>
    <xf numFmtId="44" fontId="1" fillId="7" borderId="0" xfId="3" applyFont="1" applyFill="1"/>
    <xf numFmtId="0" fontId="1" fillId="0" borderId="45" xfId="11" applyFont="1" applyBorder="1"/>
    <xf numFmtId="0" fontId="2" fillId="0" borderId="19" xfId="11" applyFont="1" applyBorder="1" applyAlignment="1">
      <alignment vertical="center" wrapText="1"/>
    </xf>
    <xf numFmtId="0" fontId="2" fillId="0" borderId="5" xfId="11" applyFont="1" applyBorder="1" applyAlignment="1">
      <alignment vertical="center" wrapText="1"/>
    </xf>
    <xf numFmtId="0" fontId="41" fillId="0" borderId="5" xfId="11" applyFont="1" applyBorder="1" applyAlignment="1">
      <alignment horizontal="center" vertical="center" wrapText="1"/>
    </xf>
    <xf numFmtId="0" fontId="1" fillId="0" borderId="44" xfId="11" applyFont="1" applyBorder="1"/>
    <xf numFmtId="44" fontId="1" fillId="0" borderId="0" xfId="3" applyFont="1"/>
    <xf numFmtId="8" fontId="0" fillId="0" borderId="0" xfId="0" applyNumberFormat="1" applyFill="1" applyAlignment="1">
      <alignment horizontal="center"/>
    </xf>
    <xf numFmtId="44" fontId="2" fillId="0" borderId="0" xfId="3" applyNumberFormat="1" applyFont="1" applyAlignment="1">
      <alignment horizontal="center" wrapText="1"/>
    </xf>
    <xf numFmtId="44" fontId="0" fillId="0" borderId="0" xfId="0" applyNumberFormat="1" applyFill="1" applyAlignment="1">
      <alignment horizontal="center"/>
    </xf>
    <xf numFmtId="44" fontId="10" fillId="0" borderId="6" xfId="0" applyNumberFormat="1" applyFont="1" applyBorder="1" applyAlignment="1">
      <alignment vertical="top" wrapText="1"/>
    </xf>
    <xf numFmtId="44" fontId="10" fillId="0" borderId="8" xfId="0" applyNumberFormat="1" applyFont="1" applyBorder="1" applyAlignment="1">
      <alignment vertical="top" wrapText="1"/>
    </xf>
    <xf numFmtId="0" fontId="1" fillId="0" borderId="19" xfId="11" quotePrefix="1" applyFont="1" applyFill="1" applyBorder="1" applyAlignment="1">
      <alignment horizontal="center"/>
    </xf>
    <xf numFmtId="0" fontId="1" fillId="0" borderId="5" xfId="11" quotePrefix="1" applyFont="1" applyFill="1" applyBorder="1" applyAlignment="1">
      <alignment horizontal="center"/>
    </xf>
    <xf numFmtId="0" fontId="10" fillId="0" borderId="15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44" fontId="10" fillId="0" borderId="15" xfId="0" applyNumberFormat="1" applyFont="1" applyBorder="1" applyAlignment="1">
      <alignment vertical="top" wrapText="1"/>
    </xf>
    <xf numFmtId="44" fontId="10" fillId="0" borderId="24" xfId="0" applyNumberFormat="1" applyFont="1" applyBorder="1" applyAlignment="1">
      <alignment vertical="top" wrapText="1"/>
    </xf>
    <xf numFmtId="44" fontId="10" fillId="0" borderId="9" xfId="0" applyNumberFormat="1" applyFont="1" applyBorder="1" applyAlignment="1">
      <alignment vertical="top" wrapText="1"/>
    </xf>
    <xf numFmtId="0" fontId="18" fillId="0" borderId="0" xfId="0" quotePrefix="1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/>
    <xf numFmtId="165" fontId="18" fillId="0" borderId="0" xfId="0" applyNumberFormat="1" applyFont="1" applyAlignment="1">
      <alignment horizontal="center"/>
    </xf>
    <xf numFmtId="165" fontId="18" fillId="0" borderId="0" xfId="14" applyNumberFormat="1" applyFont="1" applyAlignment="1">
      <alignment horizontal="center"/>
    </xf>
    <xf numFmtId="0" fontId="19" fillId="0" borderId="0" xfId="14" quotePrefix="1" applyFont="1" applyFill="1" applyAlignment="1">
      <alignment horizontal="left" vertical="top" wrapText="1"/>
    </xf>
    <xf numFmtId="0" fontId="19" fillId="0" borderId="0" xfId="14" quotePrefix="1" applyFont="1" applyFill="1" applyAlignment="1">
      <alignment horizontal="left" vertical="top"/>
    </xf>
    <xf numFmtId="0" fontId="18" fillId="0" borderId="0" xfId="14" quotePrefix="1" applyFont="1" applyFill="1" applyAlignment="1">
      <alignment horizontal="center" vertical="center" wrapText="1"/>
    </xf>
    <xf numFmtId="0" fontId="19" fillId="0" borderId="0" xfId="14" applyFont="1" applyFill="1" applyAlignment="1">
      <alignment horizontal="center"/>
    </xf>
    <xf numFmtId="0" fontId="18" fillId="0" borderId="0" xfId="14" applyFont="1" applyAlignment="1">
      <alignment horizontal="center" vertical="center" wrapText="1"/>
    </xf>
    <xf numFmtId="0" fontId="19" fillId="0" borderId="0" xfId="14" applyFont="1" applyAlignment="1">
      <alignment horizontal="center"/>
    </xf>
    <xf numFmtId="0" fontId="19" fillId="0" borderId="0" xfId="14" applyFont="1" applyAlignment="1"/>
    <xf numFmtId="0" fontId="19" fillId="0" borderId="0" xfId="8" applyFont="1" applyFill="1" applyAlignment="1">
      <alignment horizontal="left" wrapText="1"/>
    </xf>
    <xf numFmtId="0" fontId="22" fillId="0" borderId="0" xfId="8" applyFont="1" applyFill="1" applyAlignment="1">
      <alignment horizontal="center"/>
    </xf>
    <xf numFmtId="0" fontId="18" fillId="0" borderId="0" xfId="8" applyFont="1" applyFill="1" applyAlignment="1">
      <alignment horizontal="center" vertical="center" wrapText="1"/>
    </xf>
    <xf numFmtId="0" fontId="19" fillId="0" borderId="0" xfId="8" applyFont="1" applyFill="1" applyAlignment="1">
      <alignment horizontal="center"/>
    </xf>
    <xf numFmtId="0" fontId="19" fillId="0" borderId="0" xfId="8" applyFont="1" applyFill="1" applyAlignment="1"/>
    <xf numFmtId="165" fontId="18" fillId="0" borderId="0" xfId="8" applyNumberFormat="1" applyFont="1" applyFill="1" applyAlignment="1">
      <alignment horizontal="center"/>
    </xf>
    <xf numFmtId="164" fontId="18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/>
    </xf>
    <xf numFmtId="0" fontId="24" fillId="0" borderId="0" xfId="14" applyFont="1" applyFill="1" applyAlignment="1">
      <alignment horizontal="center" vertical="center"/>
    </xf>
    <xf numFmtId="0" fontId="18" fillId="0" borderId="0" xfId="14" applyFont="1" applyFill="1" applyAlignment="1">
      <alignment horizontal="center" vertical="center" wrapText="1"/>
    </xf>
    <xf numFmtId="0" fontId="19" fillId="0" borderId="0" xfId="14" applyFont="1" applyFill="1" applyAlignment="1"/>
    <xf numFmtId="165" fontId="18" fillId="0" borderId="0" xfId="14" applyNumberFormat="1" applyFont="1" applyFill="1" applyAlignment="1">
      <alignment horizontal="center"/>
    </xf>
    <xf numFmtId="0" fontId="9" fillId="4" borderId="44" xfId="11" applyFont="1" applyFill="1" applyBorder="1" applyAlignment="1">
      <alignment horizontal="center" vertical="center"/>
    </xf>
    <xf numFmtId="0" fontId="6" fillId="4" borderId="44" xfId="11" applyFont="1" applyFill="1" applyBorder="1" applyAlignment="1">
      <alignment horizontal="center" vertical="center"/>
    </xf>
    <xf numFmtId="44" fontId="9" fillId="0" borderId="0" xfId="3" applyFont="1" applyFill="1" applyBorder="1" applyAlignment="1">
      <alignment horizontal="center" vertical="center" wrapText="1"/>
    </xf>
    <xf numFmtId="44" fontId="9" fillId="0" borderId="0" xfId="3" applyFont="1" applyFill="1" applyBorder="1" applyAlignment="1">
      <alignment horizontal="center" vertical="center"/>
    </xf>
    <xf numFmtId="49" fontId="1" fillId="0" borderId="30" xfId="14" applyNumberFormat="1" applyFill="1" applyBorder="1" applyAlignment="1">
      <alignment horizontal="center" vertical="center" wrapText="1"/>
    </xf>
    <xf numFmtId="49" fontId="1" fillId="0" borderId="29" xfId="14" applyNumberFormat="1" applyFill="1" applyBorder="1" applyAlignment="1">
      <alignment horizontal="center" vertical="center" wrapText="1"/>
    </xf>
    <xf numFmtId="0" fontId="2" fillId="0" borderId="14" xfId="11" applyFont="1" applyFill="1" applyBorder="1" applyAlignment="1">
      <alignment horizontal="center" vertical="center"/>
    </xf>
    <xf numFmtId="0" fontId="1" fillId="0" borderId="2" xfId="11" applyFont="1" applyFill="1" applyBorder="1" applyAlignment="1">
      <alignment horizontal="center"/>
    </xf>
    <xf numFmtId="0" fontId="1" fillId="0" borderId="3" xfId="11" applyFont="1" applyFill="1" applyBorder="1" applyAlignment="1">
      <alignment horizontal="center"/>
    </xf>
    <xf numFmtId="0" fontId="1" fillId="0" borderId="2" xfId="11" applyFont="1" applyFill="1" applyBorder="1" applyAlignment="1"/>
    <xf numFmtId="0" fontId="1" fillId="0" borderId="3" xfId="11" applyFont="1" applyFill="1" applyBorder="1" applyAlignment="1"/>
    <xf numFmtId="0" fontId="2" fillId="0" borderId="27" xfId="11" applyFont="1" applyFill="1" applyBorder="1" applyAlignment="1">
      <alignment horizontal="center" vertical="center"/>
    </xf>
    <xf numFmtId="0" fontId="1" fillId="0" borderId="29" xfId="11" applyFont="1" applyFill="1" applyBorder="1" applyAlignment="1"/>
    <xf numFmtId="0" fontId="1" fillId="0" borderId="28" xfId="11" applyFont="1" applyFill="1" applyBorder="1" applyAlignment="1"/>
    <xf numFmtId="167" fontId="2" fillId="0" borderId="14" xfId="13" quotePrefix="1" applyNumberFormat="1" applyFont="1" applyFill="1" applyBorder="1" applyAlignment="1">
      <alignment horizontal="center" vertical="center" wrapText="1"/>
    </xf>
    <xf numFmtId="44" fontId="9" fillId="0" borderId="40" xfId="3" quotePrefix="1" applyFont="1" applyFill="1" applyBorder="1" applyAlignment="1">
      <alignment horizontal="center" vertical="center"/>
    </xf>
    <xf numFmtId="44" fontId="9" fillId="0" borderId="38" xfId="3" quotePrefix="1" applyFont="1" applyFill="1" applyBorder="1" applyAlignment="1">
      <alignment horizontal="center" vertical="center"/>
    </xf>
    <xf numFmtId="44" fontId="9" fillId="0" borderId="39" xfId="3" quotePrefix="1" applyFont="1" applyFill="1" applyBorder="1" applyAlignment="1">
      <alignment horizontal="center" vertical="center"/>
    </xf>
    <xf numFmtId="44" fontId="9" fillId="0" borderId="36" xfId="3" quotePrefix="1" applyFont="1" applyFill="1" applyBorder="1" applyAlignment="1">
      <alignment horizontal="center" vertical="center"/>
    </xf>
    <xf numFmtId="44" fontId="9" fillId="0" borderId="11" xfId="3" quotePrefix="1" applyFont="1" applyFill="1" applyBorder="1" applyAlignment="1">
      <alignment horizontal="center" vertical="center"/>
    </xf>
    <xf numFmtId="44" fontId="9" fillId="0" borderId="12" xfId="3" quotePrefix="1" applyFont="1" applyFill="1" applyBorder="1" applyAlignment="1">
      <alignment horizontal="center" vertical="center"/>
    </xf>
    <xf numFmtId="44" fontId="9" fillId="0" borderId="37" xfId="3" quotePrefix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8" fillId="0" borderId="0" xfId="0" quotePrefix="1" applyFont="1" applyFill="1" applyAlignment="1">
      <alignment horizontal="center" vertical="center" wrapText="1"/>
    </xf>
    <xf numFmtId="0" fontId="19" fillId="0" borderId="0" xfId="0" applyFont="1" applyFill="1" applyAlignment="1"/>
    <xf numFmtId="0" fontId="18" fillId="0" borderId="0" xfId="14" quotePrefix="1" applyFont="1" applyAlignment="1">
      <alignment horizontal="center" vertical="center" wrapText="1"/>
    </xf>
    <xf numFmtId="165" fontId="38" fillId="0" borderId="0" xfId="14" applyNumberFormat="1" applyFont="1" applyAlignment="1">
      <alignment horizont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5" fontId="18" fillId="0" borderId="0" xfId="0" applyNumberFormat="1" applyFont="1" applyFill="1" applyAlignment="1">
      <alignment horizontal="center" vertical="center" wrapText="1"/>
    </xf>
    <xf numFmtId="44" fontId="9" fillId="3" borderId="0" xfId="3" quotePrefix="1" applyFont="1" applyFill="1" applyBorder="1" applyAlignment="1">
      <alignment horizontal="center" vertical="center"/>
    </xf>
    <xf numFmtId="165" fontId="18" fillId="0" borderId="0" xfId="0" applyNumberFormat="1" applyFont="1" applyFill="1" applyAlignment="1">
      <alignment horizontal="center"/>
    </xf>
    <xf numFmtId="0" fontId="12" fillId="5" borderId="41" xfId="11" applyFont="1" applyFill="1" applyBorder="1" applyAlignment="1">
      <alignment horizontal="center" vertical="center"/>
    </xf>
    <xf numFmtId="0" fontId="12" fillId="5" borderId="42" xfId="11" applyFont="1" applyFill="1" applyBorder="1" applyAlignment="1">
      <alignment horizontal="center" vertical="center"/>
    </xf>
    <xf numFmtId="0" fontId="12" fillId="5" borderId="6" xfId="11" applyFont="1" applyFill="1" applyBorder="1" applyAlignment="1">
      <alignment horizontal="center" vertical="center"/>
    </xf>
    <xf numFmtId="0" fontId="12" fillId="5" borderId="41" xfId="11" applyFont="1" applyFill="1" applyBorder="1" applyAlignment="1">
      <alignment horizontal="center"/>
    </xf>
    <xf numFmtId="0" fontId="12" fillId="5" borderId="42" xfId="11" applyFont="1" applyFill="1" applyBorder="1" applyAlignment="1">
      <alignment horizontal="center"/>
    </xf>
    <xf numFmtId="0" fontId="12" fillId="5" borderId="6" xfId="11" applyFont="1" applyFill="1" applyBorder="1" applyAlignment="1">
      <alignment horizontal="center"/>
    </xf>
    <xf numFmtId="0" fontId="16" fillId="0" borderId="0" xfId="11" applyFont="1" applyFill="1" applyBorder="1" applyAlignment="1">
      <alignment horizontal="center" vertical="center" wrapText="1"/>
    </xf>
    <xf numFmtId="44" fontId="9" fillId="0" borderId="16" xfId="3" quotePrefix="1" applyFont="1" applyFill="1" applyBorder="1" applyAlignment="1">
      <alignment horizontal="center" vertical="center"/>
    </xf>
    <xf numFmtId="44" fontId="9" fillId="0" borderId="17" xfId="3" quotePrefix="1" applyFont="1" applyFill="1" applyBorder="1" applyAlignment="1">
      <alignment horizontal="center" vertical="center"/>
    </xf>
    <xf numFmtId="44" fontId="9" fillId="0" borderId="43" xfId="3" quotePrefix="1" applyFont="1" applyFill="1" applyBorder="1" applyAlignment="1">
      <alignment horizontal="center" vertical="center"/>
    </xf>
    <xf numFmtId="44" fontId="9" fillId="0" borderId="18" xfId="3" quotePrefix="1" applyFont="1" applyFill="1" applyBorder="1" applyAlignment="1">
      <alignment horizontal="center" vertical="center"/>
    </xf>
    <xf numFmtId="0" fontId="2" fillId="0" borderId="15" xfId="11" applyFont="1" applyFill="1" applyBorder="1" applyAlignment="1">
      <alignment horizontal="center" vertical="center"/>
    </xf>
    <xf numFmtId="0" fontId="3" fillId="0" borderId="24" xfId="11" applyFont="1" applyFill="1" applyBorder="1" applyAlignment="1">
      <alignment horizontal="center" vertical="center"/>
    </xf>
    <xf numFmtId="0" fontId="3" fillId="0" borderId="9" xfId="11" applyFont="1" applyFill="1" applyBorder="1" applyAlignment="1">
      <alignment horizontal="center" vertical="center"/>
    </xf>
    <xf numFmtId="0" fontId="3" fillId="0" borderId="24" xfId="11" applyFont="1" applyFill="1" applyBorder="1" applyAlignment="1">
      <alignment vertical="center"/>
    </xf>
    <xf numFmtId="0" fontId="3" fillId="0" borderId="9" xfId="11" applyFont="1" applyFill="1" applyBorder="1" applyAlignment="1">
      <alignment vertical="center"/>
    </xf>
    <xf numFmtId="167" fontId="2" fillId="0" borderId="15" xfId="13" quotePrefix="1" applyNumberFormat="1" applyFont="1" applyFill="1" applyBorder="1" applyAlignment="1">
      <alignment horizontal="center" vertical="center" wrapText="1"/>
    </xf>
    <xf numFmtId="44" fontId="9" fillId="2" borderId="0" xfId="3" quotePrefix="1" applyFont="1" applyFill="1" applyBorder="1" applyAlignment="1">
      <alignment horizontal="center" vertical="center"/>
    </xf>
    <xf numFmtId="0" fontId="3" fillId="0" borderId="44" xfId="11" applyFont="1" applyBorder="1" applyAlignment="1">
      <alignment horizontal="center"/>
    </xf>
    <xf numFmtId="0" fontId="31" fillId="0" borderId="45" xfId="11" applyFont="1" applyFill="1" applyBorder="1" applyAlignment="1">
      <alignment horizontal="center" vertical="center" wrapText="1"/>
    </xf>
    <xf numFmtId="0" fontId="31" fillId="0" borderId="0" xfId="1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14" applyFont="1" applyAlignment="1">
      <alignment horizontal="center"/>
    </xf>
    <xf numFmtId="0" fontId="28" fillId="0" borderId="0" xfId="14" applyFont="1" applyFill="1" applyAlignment="1">
      <alignment horizontal="left" wrapText="1"/>
    </xf>
    <xf numFmtId="0" fontId="1" fillId="0" borderId="5" xfId="11" applyFont="1" applyBorder="1" applyAlignment="1">
      <alignment horizontal="center" wrapText="1"/>
    </xf>
    <xf numFmtId="0" fontId="1" fillId="0" borderId="22" xfId="11" applyFont="1" applyBorder="1" applyAlignment="1">
      <alignment horizontal="center" wrapText="1"/>
    </xf>
    <xf numFmtId="0" fontId="36" fillId="0" borderId="19" xfId="11" applyFont="1" applyBorder="1" applyAlignment="1">
      <alignment horizontal="center" wrapText="1"/>
    </xf>
    <xf numFmtId="0" fontId="36" fillId="0" borderId="5" xfId="11" applyFont="1" applyBorder="1" applyAlignment="1">
      <alignment horizontal="center" wrapText="1"/>
    </xf>
    <xf numFmtId="0" fontId="2" fillId="0" borderId="5" xfId="11" applyFont="1" applyBorder="1" applyAlignment="1">
      <alignment horizontal="center" vertical="center" wrapText="1"/>
    </xf>
    <xf numFmtId="0" fontId="1" fillId="0" borderId="5" xfId="11" applyFont="1" applyBorder="1" applyAlignment="1">
      <alignment horizontal="center"/>
    </xf>
    <xf numFmtId="0" fontId="12" fillId="4" borderId="16" xfId="11" applyFont="1" applyFill="1" applyBorder="1" applyAlignment="1">
      <alignment horizontal="center" vertical="center" wrapText="1"/>
    </xf>
    <xf numFmtId="0" fontId="7" fillId="4" borderId="17" xfId="11" applyFont="1" applyFill="1" applyBorder="1" applyAlignment="1">
      <alignment horizontal="center" vertical="center" wrapText="1"/>
    </xf>
    <xf numFmtId="0" fontId="12" fillId="4" borderId="41" xfId="11" applyFont="1" applyFill="1" applyBorder="1" applyAlignment="1">
      <alignment horizontal="center" vertical="center" wrapText="1"/>
    </xf>
    <xf numFmtId="0" fontId="12" fillId="4" borderId="42" xfId="11" applyFont="1" applyFill="1" applyBorder="1" applyAlignment="1">
      <alignment horizontal="center" vertical="center"/>
    </xf>
    <xf numFmtId="0" fontId="1" fillId="0" borderId="24" xfId="11" applyFont="1" applyFill="1" applyBorder="1" applyAlignment="1">
      <alignment horizontal="center" vertical="center"/>
    </xf>
    <xf numFmtId="0" fontId="1" fillId="0" borderId="9" xfId="11" applyFont="1" applyFill="1" applyBorder="1" applyAlignment="1">
      <alignment horizontal="center" vertical="center"/>
    </xf>
    <xf numFmtId="0" fontId="1" fillId="0" borderId="24" xfId="11" applyFont="1" applyFill="1" applyBorder="1" applyAlignment="1">
      <alignment vertical="center"/>
    </xf>
    <xf numFmtId="0" fontId="1" fillId="0" borderId="9" xfId="11" applyFont="1" applyFill="1" applyBorder="1" applyAlignment="1">
      <alignment vertical="center"/>
    </xf>
    <xf numFmtId="0" fontId="1" fillId="0" borderId="26" xfId="11" applyFont="1" applyFill="1" applyBorder="1" applyAlignment="1">
      <alignment horizontal="center" vertical="center"/>
    </xf>
    <xf numFmtId="0" fontId="1" fillId="0" borderId="46" xfId="11" applyFont="1" applyFill="1" applyBorder="1" applyAlignment="1">
      <alignment horizontal="center" vertical="center"/>
    </xf>
    <xf numFmtId="44" fontId="12" fillId="0" borderId="41" xfId="3" quotePrefix="1" applyFont="1" applyFill="1" applyBorder="1" applyAlignment="1">
      <alignment horizontal="center" vertical="center" wrapText="1"/>
    </xf>
    <xf numFmtId="44" fontId="12" fillId="0" borderId="42" xfId="3" quotePrefix="1" applyFont="1" applyFill="1" applyBorder="1" applyAlignment="1">
      <alignment horizontal="center" vertical="center" wrapText="1"/>
    </xf>
    <xf numFmtId="0" fontId="2" fillId="0" borderId="15" xfId="11" quotePrefix="1" applyFont="1" applyFill="1" applyBorder="1" applyAlignment="1">
      <alignment horizontal="center" vertical="center"/>
    </xf>
    <xf numFmtId="44" fontId="9" fillId="0" borderId="10" xfId="3" quotePrefix="1" applyFont="1" applyFill="1" applyBorder="1" applyAlignment="1">
      <alignment horizontal="center" vertical="center"/>
    </xf>
    <xf numFmtId="0" fontId="12" fillId="4" borderId="50" xfId="11" quotePrefix="1" applyFont="1" applyFill="1" applyBorder="1" applyAlignment="1">
      <alignment horizontal="center" vertical="center" wrapText="1"/>
    </xf>
    <xf numFmtId="0" fontId="12" fillId="4" borderId="45" xfId="11" quotePrefix="1" applyFont="1" applyFill="1" applyBorder="1" applyAlignment="1">
      <alignment horizontal="center" vertical="center" wrapText="1"/>
    </xf>
    <xf numFmtId="0" fontId="1" fillId="0" borderId="5" xfId="11" applyFont="1" applyFill="1" applyBorder="1" applyAlignment="1">
      <alignment horizontal="left"/>
    </xf>
    <xf numFmtId="0" fontId="2" fillId="0" borderId="19" xfId="11" quotePrefix="1" applyFont="1" applyFill="1" applyBorder="1" applyAlignment="1">
      <alignment horizontal="center" vertical="center"/>
    </xf>
    <xf numFmtId="0" fontId="2" fillId="0" borderId="33" xfId="11" quotePrefix="1" applyFont="1" applyFill="1" applyBorder="1" applyAlignment="1">
      <alignment horizontal="center" vertical="center"/>
    </xf>
    <xf numFmtId="0" fontId="2" fillId="0" borderId="5" xfId="11" quotePrefix="1" applyFont="1" applyFill="1" applyBorder="1" applyAlignment="1">
      <alignment horizontal="center" vertical="center"/>
    </xf>
    <xf numFmtId="0" fontId="2" fillId="0" borderId="34" xfId="11" quotePrefix="1" applyFont="1" applyFill="1" applyBorder="1" applyAlignment="1">
      <alignment horizontal="center" vertical="center"/>
    </xf>
    <xf numFmtId="0" fontId="2" fillId="0" borderId="5" xfId="11" quotePrefix="1" applyFont="1" applyFill="1" applyBorder="1" applyAlignment="1">
      <alignment horizontal="center" vertical="center" wrapText="1"/>
    </xf>
    <xf numFmtId="167" fontId="2" fillId="0" borderId="5" xfId="13" quotePrefix="1" applyNumberFormat="1" applyFont="1" applyFill="1" applyBorder="1" applyAlignment="1">
      <alignment horizontal="center" vertical="center" wrapText="1"/>
    </xf>
    <xf numFmtId="0" fontId="12" fillId="4" borderId="17" xfId="11" applyFont="1" applyFill="1" applyBorder="1" applyAlignment="1">
      <alignment horizontal="center" vertical="center" wrapText="1"/>
    </xf>
    <xf numFmtId="0" fontId="12" fillId="4" borderId="18" xfId="11" applyFont="1" applyFill="1" applyBorder="1" applyAlignment="1">
      <alignment horizontal="center" vertical="center" wrapText="1"/>
    </xf>
    <xf numFmtId="0" fontId="9" fillId="0" borderId="50" xfId="14" applyFont="1" applyFill="1" applyBorder="1" applyAlignment="1">
      <alignment horizontal="center" vertical="center" wrapText="1"/>
    </xf>
    <xf numFmtId="0" fontId="9" fillId="0" borderId="45" xfId="14" applyFont="1" applyFill="1" applyBorder="1" applyAlignment="1">
      <alignment horizontal="center" vertical="center" wrapText="1"/>
    </xf>
    <xf numFmtId="0" fontId="9" fillId="0" borderId="26" xfId="14" applyFont="1" applyFill="1" applyBorder="1" applyAlignment="1">
      <alignment horizontal="center" vertical="center" wrapText="1"/>
    </xf>
    <xf numFmtId="0" fontId="9" fillId="0" borderId="0" xfId="14" applyFont="1" applyFill="1" applyBorder="1" applyAlignment="1">
      <alignment horizontal="center" vertical="center" wrapText="1"/>
    </xf>
    <xf numFmtId="0" fontId="9" fillId="0" borderId="46" xfId="14" applyFont="1" applyFill="1" applyBorder="1" applyAlignment="1">
      <alignment horizontal="center" vertical="center" wrapText="1"/>
    </xf>
    <xf numFmtId="0" fontId="9" fillId="0" borderId="44" xfId="14" applyFont="1" applyFill="1" applyBorder="1" applyAlignment="1">
      <alignment horizontal="center" vertical="center" wrapText="1"/>
    </xf>
    <xf numFmtId="0" fontId="2" fillId="0" borderId="19" xfId="1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</cellXfs>
  <cellStyles count="16">
    <cellStyle name="Comma0 - Style5" xfId="1" xr:uid="{00000000-0005-0000-0000-000000000000}"/>
    <cellStyle name="Comma1 - Style1" xfId="2" xr:uid="{00000000-0005-0000-0000-000001000000}"/>
    <cellStyle name="Currency" xfId="3" builtinId="4"/>
    <cellStyle name="Date - Style4" xfId="4" xr:uid="{00000000-0005-0000-0000-000003000000}"/>
    <cellStyle name="Fixed3 - Style3" xfId="5" xr:uid="{00000000-0005-0000-0000-000004000000}"/>
    <cellStyle name="Hyperlink" xfId="6" builtinId="8"/>
    <cellStyle name="Normal" xfId="0" builtinId="0"/>
    <cellStyle name="Normal 2" xfId="14" xr:uid="{00000000-0005-0000-0000-000007000000}"/>
    <cellStyle name="Normal_030501 Data" xfId="7" xr:uid="{00000000-0005-0000-0000-000008000000}"/>
    <cellStyle name="Normal_2001 Pay Plans" xfId="8" xr:uid="{00000000-0005-0000-0000-000009000000}"/>
    <cellStyle name="Normal_2002 Pay Plans" xfId="9" xr:uid="{00000000-0005-0000-0000-00000A000000}"/>
    <cellStyle name="Normal_D Plan- 2001" xfId="10" xr:uid="{00000000-0005-0000-0000-00000B000000}"/>
    <cellStyle name="Normal_Police" xfId="11" xr:uid="{00000000-0005-0000-0000-00000C000000}"/>
    <cellStyle name="Percen - Style2" xfId="12" xr:uid="{00000000-0005-0000-0000-00000D000000}"/>
    <cellStyle name="Percent" xfId="13" builtinId="5"/>
    <cellStyle name="Percent 2" xfId="15" xr:uid="{00000000-0005-0000-0000-00000F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38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4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5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hyperlink" Target="mailto:LONGBC@10.5%25" TargetMode="External"/><Relationship Id="rId5" Type="http://schemas.openxmlformats.org/officeDocument/2006/relationships/hyperlink" Target="mailto:LONGBC@9%25" TargetMode="External"/><Relationship Id="rId4" Type="http://schemas.openxmlformats.org/officeDocument/2006/relationships/hyperlink" Target="mailto:LONGBC@12%25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62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Relationship Id="rId4" Type="http://schemas.openxmlformats.org/officeDocument/2006/relationships/printerSettings" Target="../printerSettings/printerSettings6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7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7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4" Type="http://schemas.openxmlformats.org/officeDocument/2006/relationships/printerSettings" Target="../printerSettings/printerSettings81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FFCC"/>
  </sheetPr>
  <dimension ref="A1:I377"/>
  <sheetViews>
    <sheetView tabSelected="1" view="pageLayout" zoomScaleNormal="100" workbookViewId="0"/>
  </sheetViews>
  <sheetFormatPr defaultRowHeight="12.75" x14ac:dyDescent="0.2"/>
  <cols>
    <col min="1" max="1" width="9.7109375" style="307" bestFit="1" customWidth="1"/>
    <col min="2" max="2" width="55.5703125" customWidth="1"/>
    <col min="3" max="3" width="8" style="1" customWidth="1"/>
    <col min="4" max="4" width="12.42578125" style="1" bestFit="1" customWidth="1"/>
    <col min="5" max="5" width="11.28515625" style="403" bestFit="1" customWidth="1"/>
    <col min="6" max="7" width="11.28515625" style="403" customWidth="1"/>
    <col min="8" max="8" width="3.5703125" style="1" bestFit="1" customWidth="1"/>
    <col min="9" max="9" width="7.5703125" style="307" customWidth="1"/>
  </cols>
  <sheetData>
    <row r="1" spans="1:9" s="44" customFormat="1" ht="25.5" x14ac:dyDescent="0.2">
      <c r="A1" s="44" t="s">
        <v>0</v>
      </c>
      <c r="B1" s="44" t="s">
        <v>1</v>
      </c>
      <c r="C1" s="44" t="s">
        <v>749</v>
      </c>
      <c r="D1" s="44" t="s">
        <v>747</v>
      </c>
      <c r="E1" s="645" t="s">
        <v>376</v>
      </c>
      <c r="F1" s="645" t="s">
        <v>378</v>
      </c>
      <c r="G1" s="645" t="s">
        <v>377</v>
      </c>
      <c r="H1" s="44" t="s">
        <v>746</v>
      </c>
      <c r="I1" s="44" t="s">
        <v>976</v>
      </c>
    </row>
    <row r="2" spans="1:9" x14ac:dyDescent="0.2">
      <c r="A2" s="156" t="str">
        <f>'G - General Pay Plan'!C48</f>
        <v>ANG610</v>
      </c>
      <c r="B2" t="str">
        <f>'G - General Pay Plan'!D48</f>
        <v>ACCOUNT REPRESENTATIVE, UTILITY BILLING</v>
      </c>
      <c r="C2" s="156" t="str">
        <f>'G - General Pay Plan'!A48</f>
        <v>G19</v>
      </c>
      <c r="D2" s="343" t="s">
        <v>386</v>
      </c>
      <c r="E2" s="403">
        <f>'G - General Pay Plan'!E48</f>
        <v>4485.7666666666664</v>
      </c>
      <c r="F2" s="403">
        <f>(E2+G2)/2</f>
        <v>5337.1550000000007</v>
      </c>
      <c r="G2" s="403">
        <f>'G - General Pay Plan'!G48</f>
        <v>6188.543333333334</v>
      </c>
      <c r="H2" s="343" t="s">
        <v>669</v>
      </c>
      <c r="I2" s="348">
        <f>'G - General Pay Plan'!$H$1</f>
        <v>2019</v>
      </c>
    </row>
    <row r="3" spans="1:9" x14ac:dyDescent="0.2">
      <c r="A3" s="307" t="str">
        <f>'G - General Pay Plan'!C27</f>
        <v>BNG601</v>
      </c>
      <c r="B3" t="str">
        <f>(('G - General Pay Plan'!D27))</f>
        <v>ACCOUNTING ASSISTANT</v>
      </c>
      <c r="C3" s="307" t="str">
        <f>'G - General Pay Plan'!A27</f>
        <v>G14</v>
      </c>
      <c r="D3" s="307" t="s">
        <v>386</v>
      </c>
      <c r="E3" s="403">
        <f>'G - General Pay Plan'!E27</f>
        <v>3500.3816666666667</v>
      </c>
      <c r="F3" s="403">
        <f>(E3+G3)/2</f>
        <v>4164.8633333333337</v>
      </c>
      <c r="G3" s="403">
        <f>'G - General Pay Plan'!G27</f>
        <v>4829.3450000000003</v>
      </c>
      <c r="H3" s="307" t="s">
        <v>669</v>
      </c>
      <c r="I3" s="348">
        <f>'G - General Pay Plan'!$H$1</f>
        <v>2019</v>
      </c>
    </row>
    <row r="4" spans="1:9" x14ac:dyDescent="0.2">
      <c r="A4" s="307" t="str">
        <f>'G - General Pay Plan'!C31</f>
        <v>BNG501</v>
      </c>
      <c r="B4" t="str">
        <f>(('G - General Pay Plan'!D31))</f>
        <v>ACCOUNTING ASSOCIATE</v>
      </c>
      <c r="C4" s="307" t="str">
        <f>'G - General Pay Plan'!A31</f>
        <v>G16</v>
      </c>
      <c r="D4" s="307" t="s">
        <v>386</v>
      </c>
      <c r="E4" s="403">
        <f>'G - General Pay Plan'!E31</f>
        <v>3864.5750000000003</v>
      </c>
      <c r="F4" s="403">
        <f>(E4+G4)/2</f>
        <v>4599.8345833333333</v>
      </c>
      <c r="G4" s="403">
        <f>'G - General Pay Plan'!G31</f>
        <v>5335.0941666666668</v>
      </c>
      <c r="H4" s="307" t="s">
        <v>669</v>
      </c>
      <c r="I4" s="348">
        <f>'G - General Pay Plan'!$H$1</f>
        <v>2019</v>
      </c>
    </row>
    <row r="5" spans="1:9" x14ac:dyDescent="0.2">
      <c r="A5" s="307" t="str">
        <f>'G - General Pay Plan'!C106</f>
        <v>BNG202</v>
      </c>
      <c r="B5" t="str">
        <f>(('G - General Pay Plan'!D106))</f>
        <v>ACCOUNTING SUPERVISOR</v>
      </c>
      <c r="C5" s="307" t="str">
        <f>'G - General Pay Plan'!A106</f>
        <v>G24</v>
      </c>
      <c r="D5" s="307" t="s">
        <v>386</v>
      </c>
      <c r="E5" s="403">
        <f>'G - General Pay Plan'!E106</f>
        <v>5748.7624999999998</v>
      </c>
      <c r="F5" s="403">
        <f>'G - General Pay Plan'!F106</f>
        <v>6840.65625</v>
      </c>
      <c r="G5" s="403">
        <f>'G - General Pay Plan'!G106</f>
        <v>7932.55</v>
      </c>
      <c r="H5" s="307" t="s">
        <v>668</v>
      </c>
      <c r="I5" s="348">
        <f>'G - General Pay Plan'!$H$1</f>
        <v>2019</v>
      </c>
    </row>
    <row r="6" spans="1:9" x14ac:dyDescent="0.2">
      <c r="A6" s="156" t="str">
        <f>'G - General Pay Plan'!C49</f>
        <v>ANG601</v>
      </c>
      <c r="B6" t="str">
        <f>(('G - General Pay Plan'!D49))</f>
        <v>ADMINISTRATIVE ASSISTANT</v>
      </c>
      <c r="C6" s="307" t="str">
        <f>'G - General Pay Plan'!A48</f>
        <v>G19</v>
      </c>
      <c r="D6" s="307" t="s">
        <v>386</v>
      </c>
      <c r="E6" s="403">
        <f>'G - General Pay Plan'!E48</f>
        <v>4485.7666666666664</v>
      </c>
      <c r="F6" s="403">
        <f>(E6+G6)/2</f>
        <v>5337.1550000000007</v>
      </c>
      <c r="G6" s="403">
        <f>'G - General Pay Plan'!G48</f>
        <v>6188.543333333334</v>
      </c>
      <c r="H6" s="307" t="s">
        <v>669</v>
      </c>
      <c r="I6" s="348">
        <f>'G - General Pay Plan'!$H$1</f>
        <v>2019</v>
      </c>
    </row>
    <row r="7" spans="1:9" x14ac:dyDescent="0.2">
      <c r="A7" s="307" t="str">
        <f>'G - General Pay Plan'!C192</f>
        <v>ANG201</v>
      </c>
      <c r="B7" t="str">
        <f>(('G - General Pay Plan'!D192))</f>
        <v>ADMINISTRATIVE SERVICES MANAGER</v>
      </c>
      <c r="C7" s="307" t="str">
        <f>'G - General Pay Plan'!A192</f>
        <v>G28</v>
      </c>
      <c r="D7" s="307" t="s">
        <v>386</v>
      </c>
      <c r="E7" s="403">
        <f>'G - General Pay Plan'!E192</f>
        <v>7010.3841666666667</v>
      </c>
      <c r="F7" s="403">
        <f>'G - General Pay Plan'!F192</f>
        <v>8341.4087500000005</v>
      </c>
      <c r="G7" s="403">
        <f>'G - General Pay Plan'!G192</f>
        <v>9672.4333333333325</v>
      </c>
      <c r="H7" s="307" t="s">
        <v>668</v>
      </c>
      <c r="I7" s="348">
        <f>'G - General Pay Plan'!$H$1</f>
        <v>2019</v>
      </c>
    </row>
    <row r="8" spans="1:9" x14ac:dyDescent="0.2">
      <c r="A8" s="307" t="str">
        <f>'G - General Pay Plan'!C86</f>
        <v>ANG202</v>
      </c>
      <c r="B8" t="str">
        <f>(('G - General Pay Plan'!D86))</f>
        <v>ADMINISTRATIVE SERVICES SUPERVISOR</v>
      </c>
      <c r="C8" s="307" t="str">
        <f>'G - General Pay Plan'!A86</f>
        <v>G23</v>
      </c>
      <c r="D8" s="307" t="s">
        <v>386</v>
      </c>
      <c r="E8" s="403">
        <f>'G - General Pay Plan'!E86</f>
        <v>5469.7758333333331</v>
      </c>
      <c r="F8" s="403">
        <f>'G - General Pay Plan'!F86</f>
        <v>6508.7583333333341</v>
      </c>
      <c r="G8" s="403">
        <f>'G - General Pay Plan'!G86</f>
        <v>7547.7408333333333</v>
      </c>
      <c r="H8" s="307" t="s">
        <v>668</v>
      </c>
      <c r="I8" s="348">
        <f>'G - General Pay Plan'!$H$1</f>
        <v>2019</v>
      </c>
    </row>
    <row r="9" spans="1:9" x14ac:dyDescent="0.2">
      <c r="A9" s="307" t="str">
        <f>'E -Executive'!C7</f>
        <v>XNE103</v>
      </c>
      <c r="B9" t="str">
        <f>'E -Executive'!D7</f>
        <v>ASSISTANT CITY MANAGER</v>
      </c>
      <c r="C9" s="307" t="str">
        <f>'E -Executive'!A7</f>
        <v>(E02)</v>
      </c>
      <c r="D9" s="307" t="s">
        <v>386</v>
      </c>
      <c r="E9" s="403">
        <f>'E -Executive'!E7</f>
        <v>10167.449999999999</v>
      </c>
      <c r="F9" s="403">
        <f>(E9+G9)/2</f>
        <v>13204.467083333333</v>
      </c>
      <c r="G9" s="403">
        <f>'E -Executive'!G7</f>
        <v>16241.484166666667</v>
      </c>
      <c r="H9" s="307" t="s">
        <v>668</v>
      </c>
      <c r="I9" s="347">
        <f>'E -Executive'!$H$1</f>
        <v>2019</v>
      </c>
    </row>
    <row r="10" spans="1:9" x14ac:dyDescent="0.2">
      <c r="A10" s="307" t="str">
        <f>'G - General Pay Plan'!C193</f>
        <v>FNG201</v>
      </c>
      <c r="B10" t="str">
        <f>(('G - General Pay Plan'!D193))</f>
        <v>ASSISTANT FIRE MARSHAL</v>
      </c>
      <c r="C10" s="307" t="str">
        <f>'G - General Pay Plan'!A192</f>
        <v>G28</v>
      </c>
      <c r="D10" s="307" t="s">
        <v>386</v>
      </c>
      <c r="E10" s="403">
        <f>'G - General Pay Plan'!E192</f>
        <v>7010.3841666666667</v>
      </c>
      <c r="F10" s="403">
        <f>'G - General Pay Plan'!F192</f>
        <v>8341.4087500000005</v>
      </c>
      <c r="G10" s="403">
        <f>'G - General Pay Plan'!G192</f>
        <v>9672.4333333333325</v>
      </c>
      <c r="H10" s="307" t="s">
        <v>668</v>
      </c>
      <c r="I10" s="348">
        <f>'G - General Pay Plan'!$H$1</f>
        <v>2019</v>
      </c>
    </row>
    <row r="11" spans="1:9" x14ac:dyDescent="0.2">
      <c r="A11" s="307" t="str">
        <f>'G - General Pay Plan'!C64</f>
        <v>DNG501</v>
      </c>
      <c r="B11" t="str">
        <f>(('G - General Pay Plan'!D64))</f>
        <v>ASSISTANT LAND USE PROFESSIONAL</v>
      </c>
      <c r="C11" s="307" t="str">
        <f>'G - General Pay Plan'!A64</f>
        <v>G21</v>
      </c>
      <c r="D11" s="307" t="s">
        <v>386</v>
      </c>
      <c r="E11" s="403">
        <f>'G - General Pay Plan'!E64</f>
        <v>4953.0333333333338</v>
      </c>
      <c r="F11" s="403">
        <f>'G - General Pay Plan'!F64</f>
        <v>5893.7524999999996</v>
      </c>
      <c r="G11" s="403">
        <f>'G - General Pay Plan'!G64</f>
        <v>6834.4716666666673</v>
      </c>
      <c r="H11" s="307" t="s">
        <v>669</v>
      </c>
      <c r="I11" s="348">
        <f>'G - General Pay Plan'!$H$1</f>
        <v>2019</v>
      </c>
    </row>
    <row r="12" spans="1:9" x14ac:dyDescent="0.2">
      <c r="A12" s="307" t="str">
        <f>'G - General Pay Plan'!C65</f>
        <v>DNG503</v>
      </c>
      <c r="B12" t="str">
        <f>(('G - General Pay Plan'!D65))</f>
        <v>ASSISTANT PLANNER</v>
      </c>
      <c r="C12" s="307" t="str">
        <f>'G - General Pay Plan'!A64</f>
        <v>G21</v>
      </c>
      <c r="D12" s="307" t="s">
        <v>386</v>
      </c>
      <c r="E12" s="403">
        <f>'G - General Pay Plan'!E64</f>
        <v>4953.0333333333338</v>
      </c>
      <c r="F12" s="403">
        <f>'G - General Pay Plan'!F64</f>
        <v>5893.7524999999996</v>
      </c>
      <c r="G12" s="403">
        <f>'G - General Pay Plan'!G64</f>
        <v>6834.4716666666673</v>
      </c>
      <c r="H12" s="307" t="s">
        <v>669</v>
      </c>
      <c r="I12" s="348">
        <f>'G - General Pay Plan'!$H$1</f>
        <v>2019</v>
      </c>
    </row>
    <row r="13" spans="1:9" x14ac:dyDescent="0.2">
      <c r="A13" s="307" t="str">
        <f>'M-Mid Mgmt'!C17</f>
        <v>PNM201</v>
      </c>
      <c r="B13" t="str">
        <f>'M-Mid Mgmt'!D17</f>
        <v>ASSISTANT POLICE CHIEF</v>
      </c>
      <c r="C13" s="307" t="str">
        <f>'M-Mid Mgmt'!A16</f>
        <v>M02</v>
      </c>
      <c r="D13" s="307" t="s">
        <v>386</v>
      </c>
      <c r="E13" s="403">
        <f>'M-Mid Mgmt'!E16</f>
        <v>9438.7991666666658</v>
      </c>
      <c r="F13" s="403">
        <f>'M-Mid Mgmt'!F16</f>
        <v>11232.28125</v>
      </c>
      <c r="G13" s="403">
        <f>'M-Mid Mgmt'!G16</f>
        <v>13025.763333333334</v>
      </c>
      <c r="H13" s="307" t="s">
        <v>668</v>
      </c>
      <c r="I13" s="347">
        <f>'M-Mid Mgmt'!$H$1</f>
        <v>2019</v>
      </c>
    </row>
    <row r="14" spans="1:9" x14ac:dyDescent="0.2">
      <c r="A14" s="307" t="str">
        <f>'G - General Pay Plan'!C219</f>
        <v>ANG212</v>
      </c>
      <c r="B14" t="str">
        <f>(('G - General Pay Plan'!D219))</f>
        <v>ASSISTANT TO THE CITY MANAGER</v>
      </c>
      <c r="C14" s="307" t="str">
        <f>'G - General Pay Plan'!A219</f>
        <v>G30</v>
      </c>
      <c r="D14" s="307" t="s">
        <v>386</v>
      </c>
      <c r="E14" s="403">
        <f>'G - General Pay Plan'!E219</f>
        <v>7741.52</v>
      </c>
      <c r="F14" s="403">
        <f>'G - General Pay Plan'!F219</f>
        <v>9211.350833333332</v>
      </c>
      <c r="G14" s="403">
        <f>'G - General Pay Plan'!G219</f>
        <v>10681.181666666665</v>
      </c>
      <c r="H14" s="307" t="s">
        <v>668</v>
      </c>
      <c r="I14" s="348">
        <f>'G - General Pay Plan'!$H$1</f>
        <v>2019</v>
      </c>
    </row>
    <row r="15" spans="1:9" x14ac:dyDescent="0.2">
      <c r="A15" s="307" t="str">
        <f>'G - General Pay Plan'!C107</f>
        <v>DNG209</v>
      </c>
      <c r="B15" t="str">
        <f>(('G - General Pay Plan'!D107))</f>
        <v>ASSOCIATE LAND USE PROFESSIONAL</v>
      </c>
      <c r="C15" s="307" t="str">
        <f>'G - General Pay Plan'!A106</f>
        <v>G24</v>
      </c>
      <c r="D15" s="307" t="s">
        <v>386</v>
      </c>
      <c r="E15" s="403">
        <f>'G - General Pay Plan'!E106</f>
        <v>5748.7624999999998</v>
      </c>
      <c r="F15" s="403">
        <f>'G - General Pay Plan'!F106</f>
        <v>6840.65625</v>
      </c>
      <c r="G15" s="403">
        <f>'G - General Pay Plan'!G106</f>
        <v>7932.55</v>
      </c>
      <c r="H15" s="307" t="s">
        <v>668</v>
      </c>
      <c r="I15" s="348">
        <f>'G - General Pay Plan'!$H$1</f>
        <v>2019</v>
      </c>
    </row>
    <row r="16" spans="1:9" x14ac:dyDescent="0.2">
      <c r="A16" s="307" t="str">
        <f>'G - General Pay Plan'!C108</f>
        <v>DNG211</v>
      </c>
      <c r="B16" t="str">
        <f>(('G - General Pay Plan'!D108))</f>
        <v>ASSOCIATE PLANNER</v>
      </c>
      <c r="C16" s="307" t="str">
        <f>'G - General Pay Plan'!A106</f>
        <v>G24</v>
      </c>
      <c r="D16" s="307" t="s">
        <v>386</v>
      </c>
      <c r="E16" s="403">
        <f>'G - General Pay Plan'!E106</f>
        <v>5748.7624999999998</v>
      </c>
      <c r="F16" s="403">
        <f>'G - General Pay Plan'!F106</f>
        <v>6840.65625</v>
      </c>
      <c r="G16" s="403">
        <f>'G - General Pay Plan'!G106</f>
        <v>7932.55</v>
      </c>
      <c r="H16" s="307" t="s">
        <v>668</v>
      </c>
      <c r="I16" s="348">
        <f>'G - General Pay Plan'!$H$1</f>
        <v>2019</v>
      </c>
    </row>
    <row r="17" spans="1:9" x14ac:dyDescent="0.2">
      <c r="A17" s="307" t="str">
        <f>'M-Mid Mgmt'!C3</f>
        <v>ANM202</v>
      </c>
      <c r="B17" t="str">
        <f>'M-Mid Mgmt'!D3</f>
        <v xml:space="preserve">ASST DIR, CITY CLERKS &amp; PUBLIC RECORDS </v>
      </c>
      <c r="C17" s="307" t="str">
        <f>'M-Mid Mgmt'!A3</f>
        <v>M01</v>
      </c>
      <c r="D17" s="307" t="s">
        <v>386</v>
      </c>
      <c r="E17" s="403">
        <f>'M-Mid Mgmt'!E3</f>
        <v>8981.1525000000001</v>
      </c>
      <c r="F17" s="403">
        <f>'M-Mid Mgmt'!F3</f>
        <v>10689.426666666666</v>
      </c>
      <c r="G17" s="403">
        <f>'M-Mid Mgmt'!G3</f>
        <v>12397.700833333334</v>
      </c>
      <c r="H17" s="66" t="s">
        <v>668</v>
      </c>
      <c r="I17" s="347">
        <f>'M-Mid Mgmt'!$H$1</f>
        <v>2019</v>
      </c>
    </row>
    <row r="18" spans="1:9" x14ac:dyDescent="0.2">
      <c r="A18" s="307" t="str">
        <f>'M-Mid Mgmt'!C4</f>
        <v>ANM203</v>
      </c>
      <c r="B18" s="2" t="str">
        <f>'M-Mid Mgmt'!D4</f>
        <v>ASST DIR, CITY MANAGER'S OFFICE</v>
      </c>
      <c r="C18" s="307" t="str">
        <f>'M-Mid Mgmt'!A3</f>
        <v>M01</v>
      </c>
      <c r="D18" s="41" t="s">
        <v>386</v>
      </c>
      <c r="E18" s="403">
        <f>'M-Mid Mgmt'!E3</f>
        <v>8981.1525000000001</v>
      </c>
      <c r="F18" s="403">
        <f>'M-Mid Mgmt'!F3</f>
        <v>10689.426666666666</v>
      </c>
      <c r="G18" s="403">
        <f>'M-Mid Mgmt'!G3</f>
        <v>12397.700833333334</v>
      </c>
      <c r="H18" s="307" t="s">
        <v>668</v>
      </c>
      <c r="I18" s="347">
        <f>'M-Mid Mgmt'!$H$1</f>
        <v>2019</v>
      </c>
    </row>
    <row r="19" spans="1:9" x14ac:dyDescent="0.2">
      <c r="A19" s="307" t="str">
        <f>'M-Mid Mgmt'!C5</f>
        <v>MNM201</v>
      </c>
      <c r="B19" t="str">
        <f>'M-Mid Mgmt'!D5</f>
        <v>ASST DIR, CIVIC SERVICES</v>
      </c>
      <c r="C19" s="307" t="str">
        <f>'M-Mid Mgmt'!A3</f>
        <v>M01</v>
      </c>
      <c r="D19" s="307" t="s">
        <v>386</v>
      </c>
      <c r="E19" s="403">
        <f>'M-Mid Mgmt'!E3</f>
        <v>8981.1525000000001</v>
      </c>
      <c r="F19" s="403">
        <f>'M-Mid Mgmt'!F3</f>
        <v>10689.426666666666</v>
      </c>
      <c r="G19" s="403">
        <f>'M-Mid Mgmt'!G3</f>
        <v>12397.700833333334</v>
      </c>
      <c r="H19" s="307" t="s">
        <v>668</v>
      </c>
      <c r="I19" s="347">
        <f>'M-Mid Mgmt'!$H$1</f>
        <v>2019</v>
      </c>
    </row>
    <row r="20" spans="1:9" x14ac:dyDescent="0.2">
      <c r="A20" s="307" t="str">
        <f>'M-Mid Mgmt'!C11</f>
        <v>DNM204</v>
      </c>
      <c r="B20" t="str">
        <f>(('M-Mid Mgmt'!D11))</f>
        <v>ASST DIR, COMMUNITY DEVELOPMENT</v>
      </c>
      <c r="C20" s="307" t="str">
        <f>'M-Mid Mgmt'!A3</f>
        <v>M01</v>
      </c>
      <c r="D20" s="307" t="s">
        <v>386</v>
      </c>
      <c r="E20" s="403">
        <f>'M-Mid Mgmt'!E3</f>
        <v>8981.1525000000001</v>
      </c>
      <c r="F20" s="403">
        <f>'M-Mid Mgmt'!F3</f>
        <v>10689.426666666666</v>
      </c>
      <c r="G20" s="403">
        <f>'M-Mid Mgmt'!G3</f>
        <v>12397.700833333334</v>
      </c>
      <c r="H20" s="307" t="s">
        <v>668</v>
      </c>
      <c r="I20" s="347">
        <f>'M-Mid Mgmt'!$H$1</f>
        <v>2019</v>
      </c>
    </row>
    <row r="21" spans="1:9" x14ac:dyDescent="0.2">
      <c r="A21" s="307" t="str">
        <f>'M-Mid Mgmt'!C6</f>
        <v>DNM203</v>
      </c>
      <c r="B21" s="53" t="str">
        <f>'M-Mid Mgmt'!D6</f>
        <v>ASST DIR, DEVELOPMENT SERVICES</v>
      </c>
      <c r="C21" s="307" t="str">
        <f>'M-Mid Mgmt'!A3</f>
        <v>M01</v>
      </c>
      <c r="D21" s="41" t="s">
        <v>386</v>
      </c>
      <c r="E21" s="403">
        <f>'M-Mid Mgmt'!E3</f>
        <v>8981.1525000000001</v>
      </c>
      <c r="F21" s="403">
        <f>'M-Mid Mgmt'!F3</f>
        <v>10689.426666666666</v>
      </c>
      <c r="G21" s="403">
        <f>'M-Mid Mgmt'!G3</f>
        <v>12397.700833333334</v>
      </c>
      <c r="H21" s="41" t="s">
        <v>668</v>
      </c>
      <c r="I21" s="347">
        <f>'M-Mid Mgmt'!$H$1</f>
        <v>2019</v>
      </c>
    </row>
    <row r="22" spans="1:9" s="3" customFormat="1" x14ac:dyDescent="0.2">
      <c r="A22" s="307" t="str">
        <f>'M-Mid Mgmt'!C7</f>
        <v>BNM201</v>
      </c>
      <c r="B22" t="str">
        <f>(('M-Mid Mgmt'!D7))</f>
        <v>ASST DIR, FINANCE</v>
      </c>
      <c r="C22" s="307" t="str">
        <f>'M-Mid Mgmt'!A3</f>
        <v>M01</v>
      </c>
      <c r="D22" s="307" t="s">
        <v>386</v>
      </c>
      <c r="E22" s="403">
        <f>'M-Mid Mgmt'!E3</f>
        <v>8981.1525000000001</v>
      </c>
      <c r="F22" s="403">
        <f>'M-Mid Mgmt'!F3</f>
        <v>10689.426666666666</v>
      </c>
      <c r="G22" s="403">
        <f>'M-Mid Mgmt'!G3</f>
        <v>12397.700833333334</v>
      </c>
      <c r="H22" s="307" t="s">
        <v>668</v>
      </c>
      <c r="I22" s="347">
        <f>'M-Mid Mgmt'!$H$1</f>
        <v>2019</v>
      </c>
    </row>
    <row r="23" spans="1:9" s="3" customFormat="1" x14ac:dyDescent="0.2">
      <c r="A23" s="307" t="str">
        <f>'M-Mid Mgmt'!C8</f>
        <v>HNM201</v>
      </c>
      <c r="B23" t="str">
        <f>(('M-Mid Mgmt'!D8))</f>
        <v>ASST DIR, HUMAN RESOURCES</v>
      </c>
      <c r="C23" s="41" t="s">
        <v>169</v>
      </c>
      <c r="D23" s="307" t="s">
        <v>386</v>
      </c>
      <c r="E23" s="403">
        <f>'M-Mid Mgmt'!E3</f>
        <v>8981.1525000000001</v>
      </c>
      <c r="F23" s="403">
        <f>'M-Mid Mgmt'!F3</f>
        <v>10689.426666666666</v>
      </c>
      <c r="G23" s="403">
        <f>'M-Mid Mgmt'!G3</f>
        <v>12397.700833333334</v>
      </c>
      <c r="H23" s="307" t="s">
        <v>668</v>
      </c>
      <c r="I23" s="347">
        <f>'M-Mid Mgmt'!$H$1</f>
        <v>2019</v>
      </c>
    </row>
    <row r="24" spans="1:9" x14ac:dyDescent="0.2">
      <c r="A24" s="307" t="str">
        <f>'M-Mid Mgmt'!C16</f>
        <v>INM201</v>
      </c>
      <c r="B24" t="str">
        <f>(('M-Mid Mgmt'!D16))</f>
        <v>ASST DIR, INFORMATION TECHNOLOGY</v>
      </c>
      <c r="C24" s="307" t="str">
        <f>'M-Mid Mgmt'!A16</f>
        <v>M02</v>
      </c>
      <c r="D24" s="307" t="s">
        <v>386</v>
      </c>
      <c r="E24" s="403">
        <f>'M-Mid Mgmt'!E16</f>
        <v>9438.7991666666658</v>
      </c>
      <c r="F24" s="403">
        <f>'M-Mid Mgmt'!F16</f>
        <v>11232.28125</v>
      </c>
      <c r="G24" s="403">
        <f>'M-Mid Mgmt'!G16</f>
        <v>13025.763333333334</v>
      </c>
      <c r="H24" s="307" t="s">
        <v>668</v>
      </c>
      <c r="I24" s="347">
        <f>'M-Mid Mgmt'!$H$1</f>
        <v>2019</v>
      </c>
    </row>
    <row r="25" spans="1:9" s="3" customFormat="1" x14ac:dyDescent="0.2">
      <c r="A25" s="307" t="str">
        <f>'M-Mid Mgmt'!C9</f>
        <v>GNM203</v>
      </c>
      <c r="B25" t="str">
        <f>(('M-Mid Mgmt'!D9))</f>
        <v xml:space="preserve">ASST DIR, INTERGOVERNMENTAL RELATIONS </v>
      </c>
      <c r="C25" s="41" t="s">
        <v>169</v>
      </c>
      <c r="D25" s="307" t="s">
        <v>386</v>
      </c>
      <c r="E25" s="403">
        <f>'M-Mid Mgmt'!E3</f>
        <v>8981.1525000000001</v>
      </c>
      <c r="F25" s="403">
        <f>'M-Mid Mgmt'!F3</f>
        <v>10689.426666666666</v>
      </c>
      <c r="G25" s="403">
        <f>'M-Mid Mgmt'!G3</f>
        <v>12397.700833333334</v>
      </c>
      <c r="H25" s="41" t="s">
        <v>668</v>
      </c>
      <c r="I25" s="347">
        <f>'M-Mid Mgmt'!$H$1</f>
        <v>2019</v>
      </c>
    </row>
    <row r="26" spans="1:9" x14ac:dyDescent="0.2">
      <c r="A26" s="307" t="str">
        <f>'M-Mid Mgmt'!C10</f>
        <v>RNM201</v>
      </c>
      <c r="B26" t="str">
        <f>(('M-Mid Mgmt'!D10))</f>
        <v>ASST DIR, PARKS &amp; COMMUNITY SERVICES</v>
      </c>
      <c r="C26" s="307" t="str">
        <f>'M-Mid Mgmt'!A3</f>
        <v>M01</v>
      </c>
      <c r="D26" s="307" t="s">
        <v>386</v>
      </c>
      <c r="E26" s="403">
        <f>'M-Mid Mgmt'!E3</f>
        <v>8981.1525000000001</v>
      </c>
      <c r="F26" s="403">
        <f>'M-Mid Mgmt'!F3</f>
        <v>10689.426666666666</v>
      </c>
      <c r="G26" s="403">
        <f>'M-Mid Mgmt'!G3</f>
        <v>12397.700833333334</v>
      </c>
      <c r="H26" s="307" t="s">
        <v>668</v>
      </c>
      <c r="I26" s="347">
        <f>'M-Mid Mgmt'!$H$1</f>
        <v>2019</v>
      </c>
    </row>
    <row r="27" spans="1:9" x14ac:dyDescent="0.2">
      <c r="A27" s="307" t="str">
        <f>'M-Mid Mgmt'!C12</f>
        <v>ENM201</v>
      </c>
      <c r="B27" t="str">
        <f>(('M-Mid Mgmt'!D12))</f>
        <v>ASST DIR, TRANSPORTATION</v>
      </c>
      <c r="C27" s="307" t="str">
        <f>'M-Mid Mgmt'!A3</f>
        <v>M01</v>
      </c>
      <c r="D27" s="307" t="s">
        <v>386</v>
      </c>
      <c r="E27" s="403">
        <f>'M-Mid Mgmt'!E3</f>
        <v>8981.1525000000001</v>
      </c>
      <c r="F27" s="403">
        <f>'M-Mid Mgmt'!F3</f>
        <v>10689.426666666666</v>
      </c>
      <c r="G27" s="403">
        <f>'M-Mid Mgmt'!G3</f>
        <v>12397.700833333334</v>
      </c>
      <c r="H27" s="307" t="s">
        <v>668</v>
      </c>
      <c r="I27" s="347">
        <f>'M-Mid Mgmt'!$H$1</f>
        <v>2019</v>
      </c>
    </row>
    <row r="28" spans="1:9" x14ac:dyDescent="0.2">
      <c r="A28" s="307" t="str">
        <f>'M-Mid Mgmt'!C13</f>
        <v>ENM202</v>
      </c>
      <c r="B28" t="str">
        <f>(('M-Mid Mgmt'!D13))</f>
        <v>ASST DIR, UTILITIES</v>
      </c>
      <c r="C28" s="307" t="str">
        <f>'M-Mid Mgmt'!A3</f>
        <v>M01</v>
      </c>
      <c r="D28" s="307" t="s">
        <v>386</v>
      </c>
      <c r="E28" s="403">
        <f>'M-Mid Mgmt'!E3</f>
        <v>8981.1525000000001</v>
      </c>
      <c r="F28" s="403">
        <f>'M-Mid Mgmt'!F3</f>
        <v>10689.426666666666</v>
      </c>
      <c r="G28" s="403">
        <f>'M-Mid Mgmt'!G3</f>
        <v>12397.700833333334</v>
      </c>
      <c r="H28" s="307" t="s">
        <v>668</v>
      </c>
      <c r="I28" s="347">
        <f>'M-Mid Mgmt'!$H$1</f>
        <v>2019</v>
      </c>
    </row>
    <row r="29" spans="1:9" x14ac:dyDescent="0.2">
      <c r="A29" s="67" t="str">
        <f>'I -Signals &amp; Electronics (rep)'!B7</f>
        <v>MRI701</v>
      </c>
      <c r="B29" t="str">
        <f>'I -Signals &amp; Electronics (rep)'!C7</f>
        <v>ASST ELECTRONIC COMMCTNS TECH</v>
      </c>
      <c r="C29" s="67" t="str">
        <f>'I -Signals &amp; Electronics (rep)'!A7</f>
        <v>I02</v>
      </c>
      <c r="D29" s="67">
        <v>6</v>
      </c>
      <c r="E29" s="68">
        <f>'I -Signals &amp; Electronics (rep)'!D7</f>
        <v>4676.6746663104004</v>
      </c>
      <c r="F29" s="68">
        <f>(E29+G29)/2</f>
        <v>5322.5775898880001</v>
      </c>
      <c r="G29" s="68">
        <f>'I -Signals &amp; Electronics (rep)'!I7</f>
        <v>5968.480513465599</v>
      </c>
      <c r="H29" s="67" t="s">
        <v>669</v>
      </c>
      <c r="I29" s="347">
        <f>'I -Signals &amp; Electronics (rep)'!J1</f>
        <v>2018</v>
      </c>
    </row>
    <row r="30" spans="1:9" x14ac:dyDescent="0.2">
      <c r="A30" s="156" t="str">
        <f>'N-Fire (rep)'!B4</f>
        <v>FRN402</v>
      </c>
      <c r="B30" s="4" t="str">
        <f>(('N-Fire (rep)'!C4))</f>
        <v>ASST FIRE TRAINING COORDINATOR</v>
      </c>
      <c r="C30" s="156" t="str">
        <f>'N-Fire (rep)'!A3</f>
        <v>N05</v>
      </c>
      <c r="D30" s="156">
        <v>2</v>
      </c>
      <c r="E30" s="405">
        <f>'N-Fire (rep)'!G3</f>
        <v>9724.0263355125007</v>
      </c>
      <c r="F30" s="405" t="s">
        <v>665</v>
      </c>
      <c r="G30" s="405">
        <f>'N-Fire (rep)'!H3</f>
        <v>10326.034125</v>
      </c>
      <c r="H30" s="156" t="s">
        <v>669</v>
      </c>
      <c r="I30" s="409">
        <f>'N-Fire (rep)'!$I$1</f>
        <v>2019</v>
      </c>
    </row>
    <row r="31" spans="1:9" x14ac:dyDescent="0.2">
      <c r="A31" s="156" t="str">
        <f>'B- Parks,Util,CS, Trans (rep)'!B19</f>
        <v>MRB704</v>
      </c>
      <c r="B31" s="4" t="str">
        <f>'B- Parks,Util,CS, Trans (rep)'!C19</f>
        <v>ASST MECHANICAL SVCS TECH</v>
      </c>
      <c r="C31" s="156" t="str">
        <f>'B- Parks,Util,CS, Trans (rep)'!A19</f>
        <v>B30</v>
      </c>
      <c r="D31" s="156">
        <v>6</v>
      </c>
      <c r="E31" s="405">
        <f>'B- Parks,Util,CS, Trans (rep)'!D19</f>
        <v>4004.7592146639995</v>
      </c>
      <c r="F31" s="405">
        <f>(E31+G31)/2</f>
        <v>4518.2067986379998</v>
      </c>
      <c r="G31" s="405">
        <f>'B- Parks,Util,CS, Trans (rep)'!I19</f>
        <v>5031.6543826119996</v>
      </c>
      <c r="H31" s="156" t="s">
        <v>669</v>
      </c>
      <c r="I31" s="347">
        <f>'B- Parks,Util,CS, Trans (rep)'!$K$1</f>
        <v>2018</v>
      </c>
    </row>
    <row r="32" spans="1:9" x14ac:dyDescent="0.2">
      <c r="A32" s="307" t="str">
        <f>'G - General Pay Plan'!C146</f>
        <v>LNG201</v>
      </c>
      <c r="B32" t="str">
        <f>(('G - General Pay Plan'!D146))</f>
        <v>ATTORNEY 1</v>
      </c>
      <c r="C32" s="307" t="str">
        <f>'G - General Pay Plan'!A146</f>
        <v>G26</v>
      </c>
      <c r="D32" s="307" t="s">
        <v>386</v>
      </c>
      <c r="E32" s="403">
        <f>'G - General Pay Plan'!E146</f>
        <v>6347.9633333333331</v>
      </c>
      <c r="F32" s="403">
        <f>'G - General Pay Plan'!F146</f>
        <v>7553.2383333333337</v>
      </c>
      <c r="G32" s="403">
        <f>'G - General Pay Plan'!G146</f>
        <v>8758.5133333333342</v>
      </c>
      <c r="H32" s="307" t="s">
        <v>668</v>
      </c>
      <c r="I32" s="348">
        <f>'G - General Pay Plan'!$H$1</f>
        <v>2019</v>
      </c>
    </row>
    <row r="33" spans="1:9" x14ac:dyDescent="0.2">
      <c r="A33" s="307" t="str">
        <f>'G - General Pay Plan'!C220</f>
        <v>LNG202</v>
      </c>
      <c r="B33" t="str">
        <f>(('G - General Pay Plan'!D220))</f>
        <v>ATTORNEY 2</v>
      </c>
      <c r="C33" s="307" t="str">
        <f>'G - General Pay Plan'!A219</f>
        <v>G30</v>
      </c>
      <c r="D33" s="307" t="s">
        <v>386</v>
      </c>
      <c r="E33" s="403">
        <f>'G - General Pay Plan'!E219</f>
        <v>7741.52</v>
      </c>
      <c r="F33" s="403">
        <f>'G - General Pay Plan'!F219</f>
        <v>9211.350833333332</v>
      </c>
      <c r="G33" s="403">
        <f>'G - General Pay Plan'!G219</f>
        <v>10681.181666666665</v>
      </c>
      <c r="H33" s="307" t="s">
        <v>668</v>
      </c>
      <c r="I33" s="348">
        <f>'G - General Pay Plan'!$H$1</f>
        <v>2019</v>
      </c>
    </row>
    <row r="34" spans="1:9" x14ac:dyDescent="0.2">
      <c r="A34" s="156" t="str">
        <f>'G - General Pay Plan'!C50</f>
        <v>HNG502</v>
      </c>
      <c r="B34" t="str">
        <f>'G - General Pay Plan'!D50</f>
        <v>BENEFITS SPECIALIST</v>
      </c>
      <c r="C34" s="307" t="str">
        <f>'G - General Pay Plan'!A48</f>
        <v>G19</v>
      </c>
      <c r="D34" s="66" t="s">
        <v>386</v>
      </c>
      <c r="E34" s="403">
        <f>'G - General Pay Plan'!E48</f>
        <v>4485.7666666666664</v>
      </c>
      <c r="F34" s="403">
        <f>(E34+G34)/2</f>
        <v>5337.1550000000007</v>
      </c>
      <c r="G34" s="403">
        <f>'G - General Pay Plan'!G48</f>
        <v>6188.543333333334</v>
      </c>
      <c r="H34" s="66" t="s">
        <v>669</v>
      </c>
      <c r="I34" s="348">
        <f>'G - General Pay Plan'!$H$1</f>
        <v>2019</v>
      </c>
    </row>
    <row r="35" spans="1:9" x14ac:dyDescent="0.2">
      <c r="A35" s="307" t="str">
        <f>'G - General Pay Plan'!C73</f>
        <v>BNG203</v>
      </c>
      <c r="B35" t="str">
        <f>(('G - General Pay Plan'!D73))</f>
        <v>BUDGET ANALYST</v>
      </c>
      <c r="C35" s="307" t="str">
        <f>'G - General Pay Plan'!A73</f>
        <v>G22</v>
      </c>
      <c r="D35" s="307" t="s">
        <v>386</v>
      </c>
      <c r="E35" s="403">
        <f>'G - General Pay Plan'!E73</f>
        <v>5205.9083333333338</v>
      </c>
      <c r="F35" s="403">
        <f>'G - General Pay Plan'!F73</f>
        <v>6195.4154166666667</v>
      </c>
      <c r="G35" s="403">
        <f>'G - General Pay Plan'!G73</f>
        <v>7184.9225000000006</v>
      </c>
      <c r="H35" s="307" t="s">
        <v>668</v>
      </c>
      <c r="I35" s="348">
        <f>'G - General Pay Plan'!$H$1</f>
        <v>2019</v>
      </c>
    </row>
    <row r="36" spans="1:9" x14ac:dyDescent="0.2">
      <c r="A36" s="307" t="str">
        <f>'G - General Pay Plan'!C248</f>
        <v>BNG217</v>
      </c>
      <c r="B36" s="3" t="str">
        <f>'G - General Pay Plan'!D248</f>
        <v>BUDGET DIVISION MANAGER</v>
      </c>
      <c r="C36" s="307" t="str">
        <f>'G - General Pay Plan'!A248</f>
        <v>G31</v>
      </c>
      <c r="D36" s="307" t="s">
        <v>386</v>
      </c>
      <c r="E36" s="403">
        <f>'G - General Pay Plan'!E248</f>
        <v>8134.5749999999998</v>
      </c>
      <c r="F36" s="403">
        <f>(E36+G36)/2</f>
        <v>9679.9929166666661</v>
      </c>
      <c r="G36" s="403">
        <f>'G - General Pay Plan'!G248</f>
        <v>11225.410833333333</v>
      </c>
      <c r="H36" s="307" t="s">
        <v>668</v>
      </c>
      <c r="I36" s="348">
        <f>'G - General Pay Plan'!$H$1</f>
        <v>2019</v>
      </c>
    </row>
    <row r="37" spans="1:9" x14ac:dyDescent="0.2">
      <c r="A37" s="307" t="str">
        <f>'G - General Pay Plan'!C221</f>
        <v>BNG205</v>
      </c>
      <c r="B37" t="str">
        <f>(('G - General Pay Plan'!D221))</f>
        <v>BUSINESS MANAGER</v>
      </c>
      <c r="C37" s="307" t="str">
        <f>'G - General Pay Plan'!A219</f>
        <v>G30</v>
      </c>
      <c r="D37" s="307" t="s">
        <v>386</v>
      </c>
      <c r="E37" s="403">
        <f>'G - General Pay Plan'!E219</f>
        <v>7741.52</v>
      </c>
      <c r="F37" s="403">
        <f>'G - General Pay Plan'!F219</f>
        <v>9211.350833333332</v>
      </c>
      <c r="G37" s="403">
        <f>'G - General Pay Plan'!G219</f>
        <v>10681.181666666665</v>
      </c>
      <c r="H37" s="307" t="s">
        <v>668</v>
      </c>
      <c r="I37" s="348">
        <f>'G - General Pay Plan'!$H$1</f>
        <v>2019</v>
      </c>
    </row>
    <row r="38" spans="1:9" x14ac:dyDescent="0.2">
      <c r="A38" s="307" t="str">
        <f>'G - General Pay Plan'!C109</f>
        <v>ING201</v>
      </c>
      <c r="B38" t="str">
        <f>('G - General Pay Plan'!D109)</f>
        <v>BUSINESS PROCESS ANALYST</v>
      </c>
      <c r="C38" s="307" t="str">
        <f>'G - General Pay Plan'!A106</f>
        <v>G24</v>
      </c>
      <c r="D38" s="307" t="s">
        <v>386</v>
      </c>
      <c r="E38" s="403">
        <f>'G - General Pay Plan'!E106</f>
        <v>5748.7624999999998</v>
      </c>
      <c r="F38" s="403">
        <f>'G - General Pay Plan'!F106</f>
        <v>6840.65625</v>
      </c>
      <c r="G38" s="403">
        <f>'G - General Pay Plan'!G106</f>
        <v>7932.55</v>
      </c>
      <c r="H38" s="307" t="s">
        <v>668</v>
      </c>
      <c r="I38" s="348">
        <f>'G - General Pay Plan'!$H$1</f>
        <v>2019</v>
      </c>
    </row>
    <row r="39" spans="1:9" x14ac:dyDescent="0.2">
      <c r="A39" s="307" t="str">
        <f>'G - General Pay Plan'!C249</f>
        <v>ING252</v>
      </c>
      <c r="B39" s="3" t="str">
        <f>'G - General Pay Plan'!D249</f>
        <v>BUSINESS SYSTEMS MANAGER</v>
      </c>
      <c r="C39" s="307" t="str">
        <f>'G - General Pay Plan'!A248</f>
        <v>G31</v>
      </c>
      <c r="D39" s="307" t="s">
        <v>386</v>
      </c>
      <c r="E39" s="403">
        <f>'G - General Pay Plan'!E248</f>
        <v>8134.5749999999998</v>
      </c>
      <c r="F39" s="403">
        <f>(E39+G39)/2</f>
        <v>9679.9929166666661</v>
      </c>
      <c r="G39" s="403">
        <f>'G - General Pay Plan'!G248</f>
        <v>11225.410833333333</v>
      </c>
      <c r="H39" s="307" t="s">
        <v>668</v>
      </c>
      <c r="I39" s="348">
        <f>'G - General Pay Plan'!$H$1</f>
        <v>2019</v>
      </c>
    </row>
    <row r="40" spans="1:9" x14ac:dyDescent="0.2">
      <c r="A40" s="307" t="str">
        <f>'G - General Pay Plan'!C66</f>
        <v>BNG503</v>
      </c>
      <c r="B40" t="str">
        <f>(('G - General Pay Plan'!D66))</f>
        <v>BUYER</v>
      </c>
      <c r="C40" s="307" t="str">
        <f>'G - General Pay Plan'!A64</f>
        <v>G21</v>
      </c>
      <c r="D40" s="307" t="s">
        <v>386</v>
      </c>
      <c r="E40" s="403">
        <f>'G - General Pay Plan'!E64</f>
        <v>4953.0333333333338</v>
      </c>
      <c r="F40" s="403">
        <f>'G - General Pay Plan'!F64</f>
        <v>5893.7524999999996</v>
      </c>
      <c r="G40" s="403">
        <f>'G - General Pay Plan'!G64</f>
        <v>6834.4716666666673</v>
      </c>
      <c r="H40" s="307" t="s">
        <v>669</v>
      </c>
      <c r="I40" s="348">
        <f>'G - General Pay Plan'!$H$1</f>
        <v>2019</v>
      </c>
    </row>
    <row r="41" spans="1:9" s="3" customFormat="1" x14ac:dyDescent="0.2">
      <c r="A41" s="307" t="str">
        <f>'G - General Pay Plan'!C147</f>
        <v>DNG201</v>
      </c>
      <c r="B41" t="str">
        <f>(('G - General Pay Plan'!D147))</f>
        <v>CAPITAL PROJECT COORDINATOR</v>
      </c>
      <c r="C41" s="307" t="str">
        <f>'G - General Pay Plan'!A146</f>
        <v>G26</v>
      </c>
      <c r="D41" s="307" t="s">
        <v>386</v>
      </c>
      <c r="E41" s="403">
        <f>'G - General Pay Plan'!E146</f>
        <v>6347.9633333333331</v>
      </c>
      <c r="F41" s="403">
        <f>'G - General Pay Plan'!F146</f>
        <v>7553.2383333333337</v>
      </c>
      <c r="G41" s="403">
        <f>'G - General Pay Plan'!G146</f>
        <v>8758.5133333333342</v>
      </c>
      <c r="H41" s="307" t="s">
        <v>668</v>
      </c>
      <c r="I41" s="348">
        <f>'G - General Pay Plan'!$H$1</f>
        <v>2019</v>
      </c>
    </row>
    <row r="42" spans="1:9" s="3" customFormat="1" x14ac:dyDescent="0.2">
      <c r="A42" s="307" t="str">
        <f>'G - General Pay Plan'!C222</f>
        <v>DNG202</v>
      </c>
      <c r="B42" t="str">
        <f>(('G - General Pay Plan'!D222))</f>
        <v>CAPITAL PROJECT MANAGER</v>
      </c>
      <c r="C42" s="307" t="str">
        <f>'G - General Pay Plan'!A219</f>
        <v>G30</v>
      </c>
      <c r="D42" s="307" t="s">
        <v>386</v>
      </c>
      <c r="E42" s="403">
        <f>'G - General Pay Plan'!E219</f>
        <v>7741.52</v>
      </c>
      <c r="F42" s="403">
        <f>'G - General Pay Plan'!F219</f>
        <v>9211.350833333332</v>
      </c>
      <c r="G42" s="403">
        <f>'G - General Pay Plan'!G219</f>
        <v>10681.181666666665</v>
      </c>
      <c r="H42" s="307" t="s">
        <v>668</v>
      </c>
      <c r="I42" s="348">
        <f>'G - General Pay Plan'!$H$1</f>
        <v>2019</v>
      </c>
    </row>
    <row r="43" spans="1:9" s="3" customFormat="1" x14ac:dyDescent="0.2">
      <c r="A43" s="307" t="str">
        <f>'G - General Pay Plan'!C250</f>
        <v>GNG204</v>
      </c>
      <c r="B43" s="3" t="str">
        <f>(('G - General Pay Plan'!D250))</f>
        <v>CHIEF COMMUNICATIONS OFFICER</v>
      </c>
      <c r="C43" s="307" t="str">
        <f>'G - General Pay Plan'!A248</f>
        <v>G31</v>
      </c>
      <c r="D43" s="307" t="s">
        <v>386</v>
      </c>
      <c r="E43" s="403">
        <f>'G - General Pay Plan'!E248</f>
        <v>8134.5749999999998</v>
      </c>
      <c r="F43" s="403">
        <f>'G - General Pay Plan'!F248</f>
        <v>9679.9929166666661</v>
      </c>
      <c r="G43" s="403">
        <f>'G - General Pay Plan'!G248</f>
        <v>11225.410833333333</v>
      </c>
      <c r="H43" s="307" t="s">
        <v>668</v>
      </c>
      <c r="I43" s="348">
        <f>'G - General Pay Plan'!$H$1</f>
        <v>2019</v>
      </c>
    </row>
    <row r="44" spans="1:9" x14ac:dyDescent="0.2">
      <c r="A44" s="307" t="str">
        <f>'G - General Pay Plan'!C272</f>
        <v>GNG213</v>
      </c>
      <c r="B44" s="402" t="str">
        <f>'G - General Pay Plan'!D272</f>
        <v>CHIEF ECONOMIC DEVELOPMENT OFFICER</v>
      </c>
      <c r="C44" s="307" t="str">
        <f>'G - General Pay Plan'!A271</f>
        <v>G33</v>
      </c>
      <c r="D44" s="41" t="s">
        <v>386</v>
      </c>
      <c r="E44" s="403">
        <f>'G - General Pay Plan'!E271</f>
        <v>8981.1525000000001</v>
      </c>
      <c r="F44" s="403">
        <f>'G - General Pay Plan'!F248</f>
        <v>9679.9929166666661</v>
      </c>
      <c r="G44" s="403">
        <f>'G - General Pay Plan'!G271</f>
        <v>12397.700833333334</v>
      </c>
      <c r="H44" s="41" t="s">
        <v>668</v>
      </c>
      <c r="I44" s="348">
        <f>'G - General Pay Plan'!$H$1</f>
        <v>2019</v>
      </c>
    </row>
    <row r="45" spans="1:9" x14ac:dyDescent="0.2">
      <c r="A45" s="307" t="str">
        <f>'E -Executive'!C8</f>
        <v>INE101</v>
      </c>
      <c r="B45" t="str">
        <f>'E -Executive'!D8</f>
        <v>CHIEF INFORMATION OFFICER</v>
      </c>
      <c r="C45" s="307" t="str">
        <f>'E -Executive'!A7</f>
        <v>(E02)</v>
      </c>
      <c r="D45" s="307" t="s">
        <v>386</v>
      </c>
      <c r="E45" s="403">
        <f>'E -Executive'!E7</f>
        <v>10167.449999999999</v>
      </c>
      <c r="F45" s="403">
        <f>(E45+G45)/2</f>
        <v>13204.467083333333</v>
      </c>
      <c r="G45" s="403">
        <f>'E -Executive'!G7</f>
        <v>16241.484166666667</v>
      </c>
      <c r="H45" s="307" t="s">
        <v>668</v>
      </c>
      <c r="I45" s="347">
        <f>'E -Executive'!$H$1</f>
        <v>2019</v>
      </c>
    </row>
    <row r="46" spans="1:9" x14ac:dyDescent="0.2">
      <c r="A46" s="307" t="str">
        <f>'E -Executive'!C9</f>
        <v>PNE101</v>
      </c>
      <c r="B46" t="str">
        <f>'E -Executive'!D9</f>
        <v>CHIEF OF POLICE</v>
      </c>
      <c r="C46" s="307" t="str">
        <f>'E -Executive'!A7</f>
        <v>(E02)</v>
      </c>
      <c r="D46" s="307" t="s">
        <v>386</v>
      </c>
      <c r="E46" s="403">
        <f>'E -Executive'!E7</f>
        <v>10167.449999999999</v>
      </c>
      <c r="F46" s="403">
        <f>(E46+G46)/2</f>
        <v>13204.467083333333</v>
      </c>
      <c r="G46" s="403">
        <f>'E -Executive'!G7</f>
        <v>16241.484166666667</v>
      </c>
      <c r="H46" s="307" t="s">
        <v>668</v>
      </c>
      <c r="I46" s="347">
        <f>'E -Executive'!$H$1</f>
        <v>2019</v>
      </c>
    </row>
    <row r="47" spans="1:9" x14ac:dyDescent="0.2">
      <c r="A47" s="307" t="str">
        <f>'E -Executive'!C10</f>
        <v>LNE101</v>
      </c>
      <c r="B47" t="str">
        <f>'E -Executive'!D10</f>
        <v>CITY ATTORNEY</v>
      </c>
      <c r="C47" s="307" t="str">
        <f>'E -Executive'!A7</f>
        <v>(E02)</v>
      </c>
      <c r="D47" s="307" t="s">
        <v>386</v>
      </c>
      <c r="E47" s="403">
        <f>'E -Executive'!E7</f>
        <v>10167.449999999999</v>
      </c>
      <c r="F47" s="403">
        <f>(E47+G47)/2</f>
        <v>13204.467083333333</v>
      </c>
      <c r="G47" s="403">
        <f>'E -Executive'!G7</f>
        <v>16241.484166666667</v>
      </c>
      <c r="H47" s="307" t="s">
        <v>668</v>
      </c>
      <c r="I47" s="347">
        <f>'E -Executive'!$H$1</f>
        <v>2019</v>
      </c>
    </row>
    <row r="48" spans="1:9" x14ac:dyDescent="0.2">
      <c r="A48" s="307" t="str">
        <f>'T-City Manager'!C3</f>
        <v>XNE101</v>
      </c>
      <c r="B48" s="2" t="str">
        <f>(('T-City Manager'!D3))</f>
        <v>CITY MANAGER</v>
      </c>
      <c r="C48" s="307" t="str">
        <f>'T-City Manager'!A3</f>
        <v>T01</v>
      </c>
      <c r="D48" s="307" t="s">
        <v>386</v>
      </c>
      <c r="E48" s="403" t="s">
        <v>665</v>
      </c>
      <c r="F48" s="403" t="s">
        <v>665</v>
      </c>
      <c r="G48" s="403">
        <f>'T-City Manager'!E3</f>
        <v>25171.25</v>
      </c>
      <c r="H48" s="307" t="s">
        <v>668</v>
      </c>
      <c r="I48" s="347">
        <f>'T-City Manager'!F1</f>
        <v>2019</v>
      </c>
    </row>
    <row r="49" spans="1:9" x14ac:dyDescent="0.2">
      <c r="A49" s="67" t="str">
        <f>'H- Bldg Insp, Examiners (rep)'!C8</f>
        <v>JRH201</v>
      </c>
      <c r="B49" t="str">
        <f>'H- Bldg Insp, Examiners (rep)'!D8</f>
        <v>CLEARING &amp; GRADING REVIEWER</v>
      </c>
      <c r="C49" s="67" t="str">
        <f>'H- Bldg Insp, Examiners (rep)'!A7</f>
        <v>H03</v>
      </c>
      <c r="D49" s="67">
        <v>3</v>
      </c>
      <c r="E49" s="68">
        <f>'H- Bldg Insp, Examiners (rep)'!E7</f>
        <v>7223.3161515984002</v>
      </c>
      <c r="F49" s="68">
        <f>'H- Bldg Insp, Examiners (rep)'!F7</f>
        <v>7591.2102878136002</v>
      </c>
      <c r="G49" s="68">
        <f>'H- Bldg Insp, Examiners (rep)'!G7</f>
        <v>7973.9452951284002</v>
      </c>
      <c r="H49" s="67" t="s">
        <v>668</v>
      </c>
      <c r="I49" s="347">
        <f>'H- Bldg Insp, Examiners (rep)'!$H$1</f>
        <v>2018</v>
      </c>
    </row>
    <row r="50" spans="1:9" x14ac:dyDescent="0.2">
      <c r="A50" s="156" t="str">
        <f>'G - General Pay Plan'!C110</f>
        <v>JNG301</v>
      </c>
      <c r="B50" t="str">
        <f>(('G - General Pay Plan'!D110))</f>
        <v>CODE COMPLIANCE OFFICER</v>
      </c>
      <c r="C50" s="156" t="str">
        <f>'G - General Pay Plan'!A106</f>
        <v>G24</v>
      </c>
      <c r="D50" s="156" t="s">
        <v>386</v>
      </c>
      <c r="E50" s="404">
        <f>'G - General Pay Plan'!E106</f>
        <v>5748.7624999999998</v>
      </c>
      <c r="F50" s="404">
        <f>'G - General Pay Plan'!F106</f>
        <v>6840.65625</v>
      </c>
      <c r="G50" s="404">
        <f>'G - General Pay Plan'!G106</f>
        <v>7932.55</v>
      </c>
      <c r="H50" s="156" t="s">
        <v>669</v>
      </c>
      <c r="I50" s="348">
        <f>'G - General Pay Plan'!$H$1</f>
        <v>2019</v>
      </c>
    </row>
    <row r="51" spans="1:9" x14ac:dyDescent="0.2">
      <c r="A51" s="156" t="str">
        <f>'G - General Pay Plan'!C170</f>
        <v>JNG201</v>
      </c>
      <c r="B51" t="str">
        <f>(('G - General Pay Plan'!D170))</f>
        <v>CODE COMPLIANCE SUPERVISOR</v>
      </c>
      <c r="C51" s="156" t="str">
        <f>'G - General Pay Plan'!A169</f>
        <v>G27</v>
      </c>
      <c r="D51" s="156" t="s">
        <v>386</v>
      </c>
      <c r="E51" s="404">
        <f>'G - General Pay Plan'!E169</f>
        <v>6670.9283333333333</v>
      </c>
      <c r="F51" s="404">
        <f>'G - General Pay Plan'!F169</f>
        <v>7938.0475000000006</v>
      </c>
      <c r="G51" s="404">
        <f>'G - General Pay Plan'!G169</f>
        <v>9205.1666666666661</v>
      </c>
      <c r="H51" s="156" t="s">
        <v>668</v>
      </c>
      <c r="I51" s="348">
        <f>'G - General Pay Plan'!$H$1</f>
        <v>2019</v>
      </c>
    </row>
    <row r="52" spans="1:9" x14ac:dyDescent="0.2">
      <c r="A52" s="67" t="str">
        <f>'H- Bldg Insp, Examiners (rep)'!C7</f>
        <v>JRH301</v>
      </c>
      <c r="B52" t="str">
        <f>'H- Bldg Insp, Examiners (rep)'!D7</f>
        <v>COMBINATION INSPECTOR</v>
      </c>
      <c r="C52" s="67" t="str">
        <f>'H- Bldg Insp, Examiners (rep)'!A7</f>
        <v>H03</v>
      </c>
      <c r="D52" s="67">
        <v>3</v>
      </c>
      <c r="E52" s="68">
        <f>'H- Bldg Insp, Examiners (rep)'!E7</f>
        <v>7223.3161515984002</v>
      </c>
      <c r="F52" s="68">
        <f>'H- Bldg Insp, Examiners (rep)'!F7</f>
        <v>7591.2102878136002</v>
      </c>
      <c r="G52" s="68">
        <f>'H- Bldg Insp, Examiners (rep)'!G7</f>
        <v>7973.9452951284002</v>
      </c>
      <c r="H52" s="67" t="s">
        <v>669</v>
      </c>
      <c r="I52" s="347">
        <f>'H- Bldg Insp, Examiners (rep)'!$H$1</f>
        <v>2018</v>
      </c>
    </row>
    <row r="53" spans="1:9" x14ac:dyDescent="0.2">
      <c r="A53" s="307" t="str">
        <f>'G - General Pay Plan'!C169</f>
        <v>GNG214</v>
      </c>
      <c r="B53" t="str">
        <f>'G - General Pay Plan'!D169</f>
        <v>COMMUNICATIONS MANAGER</v>
      </c>
      <c r="C53" s="307" t="str">
        <f>'G - General Pay Plan'!A169</f>
        <v>G27</v>
      </c>
      <c r="D53" s="41" t="s">
        <v>386</v>
      </c>
      <c r="E53" s="403">
        <f>'G - General Pay Plan'!E169</f>
        <v>6670.9283333333333</v>
      </c>
      <c r="F53" s="403">
        <f>'G - General Pay Plan'!F169</f>
        <v>7938.0475000000006</v>
      </c>
      <c r="G53" s="403">
        <f>'G - General Pay Plan'!G169</f>
        <v>9205.1666666666661</v>
      </c>
      <c r="H53" s="307" t="s">
        <v>668</v>
      </c>
      <c r="I53" s="348">
        <f>'G - General Pay Plan'!$H$1</f>
        <v>2019</v>
      </c>
    </row>
    <row r="54" spans="1:9" s="3" customFormat="1" x14ac:dyDescent="0.2">
      <c r="A54" s="307" t="str">
        <f>'G - General Pay Plan'!C251</f>
        <v>DNG222</v>
      </c>
      <c r="B54" s="3" t="str">
        <f>(('G - General Pay Plan'!D251))</f>
        <v>COMMUNITY DEVELOPMENT MANAGER</v>
      </c>
      <c r="C54" s="307" t="str">
        <f>'G - General Pay Plan'!A248</f>
        <v>G31</v>
      </c>
      <c r="D54" s="307" t="s">
        <v>386</v>
      </c>
      <c r="E54" s="403">
        <f>'G - General Pay Plan'!E248</f>
        <v>8134.5749999999998</v>
      </c>
      <c r="F54" s="403">
        <f>'G - General Pay Plan'!F248</f>
        <v>9679.9929166666661</v>
      </c>
      <c r="G54" s="403">
        <f>'G - General Pay Plan'!G248</f>
        <v>11225.410833333333</v>
      </c>
      <c r="H54" s="307" t="s">
        <v>668</v>
      </c>
      <c r="I54" s="348">
        <f>'G - General Pay Plan'!$H$1</f>
        <v>2019</v>
      </c>
    </row>
    <row r="55" spans="1:9" s="3" customFormat="1" x14ac:dyDescent="0.2">
      <c r="A55" s="307" t="str">
        <f>'G - General Pay Plan'!C111</f>
        <v>GNG201</v>
      </c>
      <c r="B55" t="str">
        <f>(('G - General Pay Plan'!D111))</f>
        <v>COMMUNITY RELATIONS COORDINATOR</v>
      </c>
      <c r="C55" s="307" t="str">
        <f>'G - General Pay Plan'!A106</f>
        <v>G24</v>
      </c>
      <c r="D55" s="307" t="s">
        <v>386</v>
      </c>
      <c r="E55" s="403">
        <f>'G - General Pay Plan'!E106</f>
        <v>5748.7624999999998</v>
      </c>
      <c r="F55" s="403">
        <f>'G - General Pay Plan'!F106</f>
        <v>6840.65625</v>
      </c>
      <c r="G55" s="403">
        <f>'G - General Pay Plan'!G106</f>
        <v>7932.55</v>
      </c>
      <c r="H55" s="307" t="s">
        <v>668</v>
      </c>
      <c r="I55" s="348">
        <f>'G - General Pay Plan'!$H$1</f>
        <v>2019</v>
      </c>
    </row>
    <row r="56" spans="1:9" s="3" customFormat="1" x14ac:dyDescent="0.2">
      <c r="A56" s="307" t="str">
        <f>'G - General Pay Plan'!C112</f>
        <v>RNG203</v>
      </c>
      <c r="B56" t="str">
        <f>(('G - General Pay Plan'!D112))</f>
        <v>COMMUNITY SERVICES PROGRAM COORDINATOR</v>
      </c>
      <c r="C56" s="307" t="str">
        <f>'G - General Pay Plan'!A106</f>
        <v>G24</v>
      </c>
      <c r="D56" s="307" t="s">
        <v>386</v>
      </c>
      <c r="E56" s="403">
        <f>'G - General Pay Plan'!E106</f>
        <v>5748.7624999999998</v>
      </c>
      <c r="F56" s="403">
        <f>'G - General Pay Plan'!F106</f>
        <v>6840.65625</v>
      </c>
      <c r="G56" s="403">
        <f>'G - General Pay Plan'!G106</f>
        <v>7932.55</v>
      </c>
      <c r="H56" s="307" t="s">
        <v>668</v>
      </c>
      <c r="I56" s="348">
        <f>'G - General Pay Plan'!$H$1</f>
        <v>2019</v>
      </c>
    </row>
    <row r="57" spans="1:9" x14ac:dyDescent="0.2">
      <c r="A57" s="307" t="str">
        <f>'G - General Pay Plan'!C148</f>
        <v>RNG204</v>
      </c>
      <c r="B57" t="str">
        <f>(('G - General Pay Plan'!D148))</f>
        <v>COMMUNITY SERVICES SUPERVISOR</v>
      </c>
      <c r="C57" s="307" t="str">
        <f>'G - General Pay Plan'!A146</f>
        <v>G26</v>
      </c>
      <c r="D57" s="307" t="s">
        <v>386</v>
      </c>
      <c r="E57" s="403">
        <f>'G - General Pay Plan'!E146</f>
        <v>6347.9633333333331</v>
      </c>
      <c r="F57" s="403">
        <f>'G - General Pay Plan'!F146</f>
        <v>7553.2383333333337</v>
      </c>
      <c r="G57" s="403">
        <f>'G - General Pay Plan'!G146</f>
        <v>8758.5133333333342</v>
      </c>
      <c r="H57" s="307" t="s">
        <v>668</v>
      </c>
      <c r="I57" s="348">
        <f>'G - General Pay Plan'!$H$1</f>
        <v>2019</v>
      </c>
    </row>
    <row r="58" spans="1:9" x14ac:dyDescent="0.2">
      <c r="A58" s="307" t="str">
        <f>'G - General Pay Plan'!C74</f>
        <v>JNG303</v>
      </c>
      <c r="B58" t="str">
        <f>(('G - General Pay Plan'!D74))</f>
        <v>CONSTRUCTION PROJECT INSPECTOR</v>
      </c>
      <c r="C58" s="307" t="str">
        <f>'G - General Pay Plan'!A73</f>
        <v>G22</v>
      </c>
      <c r="D58" s="307" t="s">
        <v>386</v>
      </c>
      <c r="E58" s="403">
        <f>'G - General Pay Plan'!E73</f>
        <v>5205.9083333333338</v>
      </c>
      <c r="F58" s="403">
        <f>'G - General Pay Plan'!F73</f>
        <v>6195.4154166666667</v>
      </c>
      <c r="G58" s="403">
        <f>'G - General Pay Plan'!G73</f>
        <v>7184.9225000000006</v>
      </c>
      <c r="H58" s="307" t="s">
        <v>669</v>
      </c>
      <c r="I58" s="348">
        <f>'G - General Pay Plan'!$H$1</f>
        <v>2019</v>
      </c>
    </row>
    <row r="59" spans="1:9" x14ac:dyDescent="0.2">
      <c r="A59" s="307" t="str">
        <f>'G - General Pay Plan'!C133</f>
        <v>JNG304</v>
      </c>
      <c r="B59" t="str">
        <f>'G - General Pay Plan'!D133</f>
        <v>CONSTRUCTION PROJECT INSPECTOR - LEAD</v>
      </c>
      <c r="C59" s="307" t="str">
        <f>'G - General Pay Plan'!A133</f>
        <v>G25</v>
      </c>
      <c r="D59" s="307" t="s">
        <v>386</v>
      </c>
      <c r="E59" s="403">
        <f>'G - General Pay Plan'!E133</f>
        <v>6042.8658333333333</v>
      </c>
      <c r="F59" s="403">
        <f>'G - General Pay Plan'!F133</f>
        <v>7189.045000000001</v>
      </c>
      <c r="G59" s="403">
        <f>'G - General Pay Plan'!G133</f>
        <v>8335.2241666666669</v>
      </c>
      <c r="H59" s="307" t="s">
        <v>669</v>
      </c>
      <c r="I59" s="348">
        <f>'G - General Pay Plan'!$H$1</f>
        <v>2019</v>
      </c>
    </row>
    <row r="60" spans="1:9" x14ac:dyDescent="0.2">
      <c r="A60" s="307" t="str">
        <f>'G - General Pay Plan'!C271</f>
        <v>LNG203</v>
      </c>
      <c r="B60" t="str">
        <f>(('G - General Pay Plan'!D271))</f>
        <v>CONSULTING ATTORNEY</v>
      </c>
      <c r="C60" s="307" t="str">
        <f>'G - General Pay Plan'!A271</f>
        <v>G33</v>
      </c>
      <c r="D60" s="307" t="s">
        <v>386</v>
      </c>
      <c r="E60" s="403">
        <f>'G - General Pay Plan'!E271</f>
        <v>8981.1525000000001</v>
      </c>
      <c r="F60" s="403">
        <f>'G - General Pay Plan'!F271</f>
        <v>10689.426666666666</v>
      </c>
      <c r="G60" s="403">
        <f>'G - General Pay Plan'!G271</f>
        <v>12397.700833333334</v>
      </c>
      <c r="H60" s="307" t="s">
        <v>668</v>
      </c>
      <c r="I60" s="348">
        <f>'G - General Pay Plan'!$H$1</f>
        <v>2019</v>
      </c>
    </row>
    <row r="61" spans="1:9" x14ac:dyDescent="0.2">
      <c r="A61" s="307" t="str">
        <f>'G - General Pay Plan'!C113</f>
        <v>ANG203</v>
      </c>
      <c r="B61" t="str">
        <f>(('G - General Pay Plan'!D113))</f>
        <v>CONTRACT ADMINISTRATOR</v>
      </c>
      <c r="C61" s="307" t="str">
        <f>'G - General Pay Plan'!A106</f>
        <v>G24</v>
      </c>
      <c r="D61" s="307" t="s">
        <v>386</v>
      </c>
      <c r="E61" s="403">
        <f>'G - General Pay Plan'!E106</f>
        <v>5748.7624999999998</v>
      </c>
      <c r="F61" s="403">
        <f>'G - General Pay Plan'!F106</f>
        <v>6840.65625</v>
      </c>
      <c r="G61" s="403">
        <f>'G - General Pay Plan'!G106</f>
        <v>7932.55</v>
      </c>
      <c r="H61" s="307" t="s">
        <v>668</v>
      </c>
      <c r="I61" s="348">
        <f>'G - General Pay Plan'!$H$1</f>
        <v>2019</v>
      </c>
    </row>
    <row r="62" spans="1:9" x14ac:dyDescent="0.2">
      <c r="A62" s="307" t="str">
        <f>'C- City Council'!C3</f>
        <v>CNC101</v>
      </c>
      <c r="B62" s="2" t="str">
        <f>'C- City Council'!D3</f>
        <v>COUNCIL MEMBER</v>
      </c>
      <c r="C62" s="307" t="str">
        <f>'C- City Council'!A3</f>
        <v>C01</v>
      </c>
      <c r="D62" s="307" t="s">
        <v>386</v>
      </c>
      <c r="E62" s="403" t="s">
        <v>665</v>
      </c>
      <c r="F62" s="403" t="s">
        <v>665</v>
      </c>
      <c r="G62" s="403">
        <f>'C- City Council'!E3</f>
        <v>2394</v>
      </c>
      <c r="H62" s="307" t="s">
        <v>668</v>
      </c>
      <c r="I62" s="409">
        <f>'C- City Council'!F1</f>
        <v>2019</v>
      </c>
    </row>
    <row r="63" spans="1:9" x14ac:dyDescent="0.2">
      <c r="A63" s="156" t="str">
        <f>'B- Parks,Util,CS, Trans (rep)'!B51</f>
        <v>MRB701</v>
      </c>
      <c r="B63" s="4" t="str">
        <f>'B- Parks,Util,CS, Trans (rep)'!C51</f>
        <v>CREW LEADER</v>
      </c>
      <c r="C63" s="156" t="str">
        <f>'B- Parks,Util,CS, Trans (rep)'!A51</f>
        <v>B34</v>
      </c>
      <c r="D63" s="156">
        <v>6</v>
      </c>
      <c r="E63" s="405">
        <f>'B- Parks,Util,CS, Trans (rep)'!D51</f>
        <v>5415.6007522239997</v>
      </c>
      <c r="F63" s="405">
        <f>(E63+G63)/2</f>
        <v>6108.6576035679991</v>
      </c>
      <c r="G63" s="405">
        <f>'B- Parks,Util,CS, Trans (rep)'!I51</f>
        <v>6801.7144549119994</v>
      </c>
      <c r="H63" s="156" t="s">
        <v>669</v>
      </c>
      <c r="I63" s="347">
        <f>'B- Parks,Util,CS, Trans (rep)'!$K$1</f>
        <v>2018</v>
      </c>
    </row>
    <row r="64" spans="1:9" x14ac:dyDescent="0.2">
      <c r="A64" s="156" t="str">
        <f>'B- Parks,Util,CS, Trans (rep)'!B55</f>
        <v>MRB711</v>
      </c>
      <c r="B64" s="4" t="str">
        <f>'B- Parks,Util,CS, Trans (rep)'!C55</f>
        <v>CREW LEADER - TECH SPEC</v>
      </c>
      <c r="C64" s="156" t="str">
        <f>'B- Parks,Util,CS, Trans (rep)'!A55</f>
        <v>B42</v>
      </c>
      <c r="D64" s="156">
        <v>6</v>
      </c>
      <c r="E64" s="405">
        <f>'B- Parks,Util,CS, Trans (rep)'!D55</f>
        <v>5688.9190207459997</v>
      </c>
      <c r="F64" s="405">
        <f>(E64+G64)/2</f>
        <v>6354.6437315919993</v>
      </c>
      <c r="G64" s="405">
        <f>'B- Parks,Util,CS, Trans (rep)'!I55</f>
        <v>7020.368442437999</v>
      </c>
      <c r="H64" s="156" t="s">
        <v>669</v>
      </c>
      <c r="I64" s="347">
        <f>'B- Parks,Util,CS, Trans (rep)'!$K$1</f>
        <v>2018</v>
      </c>
    </row>
    <row r="65" spans="1:9" x14ac:dyDescent="0.2">
      <c r="A65" s="156" t="str">
        <f>'B- Parks,Util,CS, Trans (rep)'!B7</f>
        <v>MRB801</v>
      </c>
      <c r="B65" s="4" t="str">
        <f>'B- Parks,Util,CS, Trans (rep)'!C7</f>
        <v>CUSTODIAN</v>
      </c>
      <c r="C65" s="156" t="str">
        <f>'B- Parks,Util,CS, Trans (rep)'!A7</f>
        <v>B29</v>
      </c>
      <c r="D65" s="156">
        <v>6</v>
      </c>
      <c r="E65" s="405">
        <f>'B- Parks,Util,CS, Trans (rep)'!D7</f>
        <v>3169.1869392299996</v>
      </c>
      <c r="F65" s="405">
        <f>(E65+G65)/2</f>
        <v>3667.6673456279996</v>
      </c>
      <c r="G65" s="405">
        <f>'B- Parks,Util,CS, Trans (rep)'!I7</f>
        <v>4166.1477520259996</v>
      </c>
      <c r="H65" s="156" t="s">
        <v>669</v>
      </c>
      <c r="I65" s="347">
        <f>'B- Parks,Util,CS, Trans (rep)'!$K$1</f>
        <v>2018</v>
      </c>
    </row>
    <row r="66" spans="1:9" x14ac:dyDescent="0.2">
      <c r="A66" s="156" t="str">
        <f>'B- Parks,Util,CS, Trans (rep)'!B15</f>
        <v>MRB809</v>
      </c>
      <c r="B66" s="4" t="str">
        <f>'B- Parks,Util,CS, Trans (rep)'!C15</f>
        <v>CUSTODIAN LEAD</v>
      </c>
      <c r="C66" s="156" t="str">
        <f>'B- Parks,Util,CS, Trans (rep)'!A15</f>
        <v>B45</v>
      </c>
      <c r="D66" s="156">
        <v>6</v>
      </c>
      <c r="E66" s="405">
        <f>'B- Parks,Util,CS, Trans (rep)'!D15</f>
        <v>3486.1061558959996</v>
      </c>
      <c r="F66" s="405">
        <f>(E66+G66)/2</f>
        <v>4034.4342892879995</v>
      </c>
      <c r="G66" s="405">
        <f>'B- Parks,Util,CS, Trans (rep)'!I15</f>
        <v>4582.7624226799999</v>
      </c>
      <c r="H66" s="156" t="s">
        <v>669</v>
      </c>
      <c r="I66" s="347">
        <f>'B- Parks,Util,CS, Trans (rep)'!$K$1</f>
        <v>2018</v>
      </c>
    </row>
    <row r="67" spans="1:9" x14ac:dyDescent="0.2">
      <c r="A67" s="307" t="str">
        <f>'G - General Pay Plan'!C32</f>
        <v>ANG501</v>
      </c>
      <c r="B67" t="str">
        <f>(('G - General Pay Plan'!D32))</f>
        <v>CUSTOMER SERVICE REPRESENTATIVE</v>
      </c>
      <c r="C67" s="307" t="str">
        <f>'G - General Pay Plan'!A31</f>
        <v>G16</v>
      </c>
      <c r="D67" s="307" t="s">
        <v>386</v>
      </c>
      <c r="E67" s="403">
        <f>'G - General Pay Plan'!E31</f>
        <v>3864.5750000000003</v>
      </c>
      <c r="F67" s="403">
        <f>(E67+G67)/2</f>
        <v>4599.8345833333333</v>
      </c>
      <c r="G67" s="403">
        <f>'G - General Pay Plan'!G31</f>
        <v>5335.0941666666668</v>
      </c>
      <c r="H67" s="307" t="s">
        <v>669</v>
      </c>
      <c r="I67" s="348">
        <f>'G - General Pay Plan'!$H$1</f>
        <v>2019</v>
      </c>
    </row>
    <row r="68" spans="1:9" x14ac:dyDescent="0.2">
      <c r="A68" s="307" t="str">
        <f>'G - General Pay Plan'!C67</f>
        <v>ING301</v>
      </c>
      <c r="B68" t="str">
        <f>('G - General Pay Plan'!D67)</f>
        <v>DATA ANALYST</v>
      </c>
      <c r="C68" s="307" t="str">
        <f>'G - General Pay Plan'!A64</f>
        <v>G21</v>
      </c>
      <c r="D68" s="307" t="s">
        <v>386</v>
      </c>
      <c r="E68" s="403">
        <f>'G - General Pay Plan'!E64</f>
        <v>4953.0333333333338</v>
      </c>
      <c r="F68" s="403">
        <f>'G - General Pay Plan'!F64</f>
        <v>5893.7524999999996</v>
      </c>
      <c r="G68" s="403">
        <f>'G - General Pay Plan'!G64</f>
        <v>6834.4716666666673</v>
      </c>
      <c r="H68" s="307" t="s">
        <v>669</v>
      </c>
      <c r="I68" s="348">
        <f>'G - General Pay Plan'!$H$1</f>
        <v>2019</v>
      </c>
    </row>
    <row r="69" spans="1:9" x14ac:dyDescent="0.2">
      <c r="A69" s="307" t="str">
        <f>'G - General Pay Plan'!C149</f>
        <v>GNG205</v>
      </c>
      <c r="B69" t="str">
        <f>('G - General Pay Plan'!D149)</f>
        <v>DEPARTMENT PUBLIC INFORMATION OFFICER</v>
      </c>
      <c r="C69" s="307" t="str">
        <f>'G - General Pay Plan'!A146</f>
        <v>G26</v>
      </c>
      <c r="D69" s="307" t="s">
        <v>386</v>
      </c>
      <c r="E69" s="403">
        <f>'G - General Pay Plan'!E146</f>
        <v>6347.9633333333331</v>
      </c>
      <c r="F69" s="403">
        <f>'G - General Pay Plan'!F146</f>
        <v>7553.2383333333337</v>
      </c>
      <c r="G69" s="403">
        <f>'G - General Pay Plan'!G146</f>
        <v>8758.5133333333342</v>
      </c>
      <c r="H69" s="307" t="s">
        <v>668</v>
      </c>
      <c r="I69" s="348">
        <f>'G - General Pay Plan'!$H$1</f>
        <v>2019</v>
      </c>
    </row>
    <row r="70" spans="1:9" x14ac:dyDescent="0.2">
      <c r="A70" s="307" t="str">
        <f>'M-Mid Mgmt'!C18</f>
        <v>LNM201</v>
      </c>
      <c r="B70" t="str">
        <f>('M-Mid Mgmt'!D18)</f>
        <v>DEPUTY CITY ATTORNEY</v>
      </c>
      <c r="C70" s="307" t="str">
        <f>'M-Mid Mgmt'!A16</f>
        <v>M02</v>
      </c>
      <c r="D70" s="307" t="s">
        <v>386</v>
      </c>
      <c r="E70" s="403">
        <f>'M-Mid Mgmt'!E16</f>
        <v>9438.7991666666658</v>
      </c>
      <c r="F70" s="403">
        <f>'M-Mid Mgmt'!F16</f>
        <v>11232.28125</v>
      </c>
      <c r="G70" s="403">
        <f>'M-Mid Mgmt'!G16</f>
        <v>13025.763333333334</v>
      </c>
      <c r="H70" s="307" t="s">
        <v>668</v>
      </c>
      <c r="I70" s="347">
        <f>'M-Mid Mgmt'!$H$1</f>
        <v>2019</v>
      </c>
    </row>
    <row r="71" spans="1:9" x14ac:dyDescent="0.2">
      <c r="A71" s="307" t="str">
        <f>'G - General Pay Plan'!C114</f>
        <v>ANG205</v>
      </c>
      <c r="B71" t="str">
        <f>('G - General Pay Plan'!D114)</f>
        <v>DEPUTY CITY CLERK</v>
      </c>
      <c r="C71" s="307" t="str">
        <f>'G - General Pay Plan'!A106</f>
        <v>G24</v>
      </c>
      <c r="D71" s="307" t="s">
        <v>386</v>
      </c>
      <c r="E71" s="403">
        <f>'G - General Pay Plan'!E106</f>
        <v>5748.7624999999998</v>
      </c>
      <c r="F71" s="403">
        <f>'G - General Pay Plan'!F106</f>
        <v>6840.65625</v>
      </c>
      <c r="G71" s="403">
        <f>'G - General Pay Plan'!G106</f>
        <v>7932.55</v>
      </c>
      <c r="H71" s="307" t="s">
        <v>668</v>
      </c>
      <c r="I71" s="348">
        <f>'G - General Pay Plan'!$H$1</f>
        <v>2019</v>
      </c>
    </row>
    <row r="72" spans="1:9" x14ac:dyDescent="0.2">
      <c r="A72" s="307" t="str">
        <f>'E -Executive'!C21</f>
        <v>XNE102</v>
      </c>
      <c r="B72" t="str">
        <f>('E -Executive'!D21)</f>
        <v>DEPUTY CITY MANAGER</v>
      </c>
      <c r="C72" s="307" t="str">
        <f>'E -Executive'!A22</f>
        <v>(E03)</v>
      </c>
      <c r="D72" s="307" t="s">
        <v>386</v>
      </c>
      <c r="E72" s="403">
        <f>'E -Executive'!E21</f>
        <v>11146.650833333333</v>
      </c>
      <c r="F72" s="403">
        <f>(E72+G72)/2</f>
        <v>14476.126666666667</v>
      </c>
      <c r="G72" s="403">
        <f>'E -Executive'!G21</f>
        <v>17805.602500000001</v>
      </c>
      <c r="H72" s="307" t="s">
        <v>668</v>
      </c>
      <c r="I72" s="347">
        <f>'E -Executive'!$H$1</f>
        <v>2019</v>
      </c>
    </row>
    <row r="73" spans="1:9" x14ac:dyDescent="0.2">
      <c r="A73" s="307" t="str">
        <f>'M-Mid Mgmt'!C19</f>
        <v>RNM202</v>
      </c>
      <c r="B73" t="str">
        <f>('M-Mid Mgmt'!D19)</f>
        <v>DEPUTY DIR, PARKS &amp; COMMUNITY SERVICES</v>
      </c>
      <c r="C73" s="307" t="str">
        <f>'M-Mid Mgmt'!A16</f>
        <v>M02</v>
      </c>
      <c r="D73" s="307" t="s">
        <v>386</v>
      </c>
      <c r="E73" s="403">
        <f>'M-Mid Mgmt'!E16</f>
        <v>9438.7991666666658</v>
      </c>
      <c r="F73" s="403">
        <f>'M-Mid Mgmt'!F16</f>
        <v>11232.28125</v>
      </c>
      <c r="G73" s="403">
        <f>'M-Mid Mgmt'!G16</f>
        <v>13025.763333333334</v>
      </c>
      <c r="H73" s="307" t="s">
        <v>668</v>
      </c>
      <c r="I73" s="347">
        <f>'M-Mid Mgmt'!$H$1</f>
        <v>2019</v>
      </c>
    </row>
    <row r="74" spans="1:9" x14ac:dyDescent="0.2">
      <c r="A74" s="307" t="str">
        <f>'M-Mid Mgmt'!C20</f>
        <v>ENM204</v>
      </c>
      <c r="B74" t="str">
        <f>('M-Mid Mgmt'!D20)</f>
        <v>DEPUTY DIR, TRANSPORTATION</v>
      </c>
      <c r="C74" s="1" t="str">
        <f>'M-Mid Mgmt'!A16</f>
        <v>M02</v>
      </c>
      <c r="D74" s="307" t="s">
        <v>386</v>
      </c>
      <c r="E74" s="403">
        <f>'M-Mid Mgmt'!E16</f>
        <v>9438.7991666666658</v>
      </c>
      <c r="F74" s="403">
        <f>'M-Mid Mgmt'!F16</f>
        <v>11232.28125</v>
      </c>
      <c r="G74" s="403">
        <f>'M-Mid Mgmt'!G16</f>
        <v>13025.763333333334</v>
      </c>
      <c r="H74" s="307" t="s">
        <v>668</v>
      </c>
      <c r="I74" s="347">
        <f>'M-Mid Mgmt'!$H$1</f>
        <v>2019</v>
      </c>
    </row>
    <row r="75" spans="1:9" x14ac:dyDescent="0.2">
      <c r="A75" s="307" t="str">
        <f>'M-Mid Mgmt'!C21</f>
        <v>ENM203</v>
      </c>
      <c r="B75" t="str">
        <f>('M-Mid Mgmt'!D21)</f>
        <v>DEPUTY DIR, UTILITIES</v>
      </c>
      <c r="C75" s="307" t="str">
        <f>'M-Mid Mgmt'!A16</f>
        <v>M02</v>
      </c>
      <c r="D75" s="307" t="s">
        <v>386</v>
      </c>
      <c r="E75" s="403">
        <f>'M-Mid Mgmt'!E16</f>
        <v>9438.7991666666658</v>
      </c>
      <c r="F75" s="403">
        <f>'M-Mid Mgmt'!F16</f>
        <v>11232.28125</v>
      </c>
      <c r="G75" s="403">
        <f>'M-Mid Mgmt'!G16</f>
        <v>13025.763333333334</v>
      </c>
      <c r="H75" s="307" t="s">
        <v>668</v>
      </c>
      <c r="I75" s="347">
        <f>'M-Mid Mgmt'!$H$1</f>
        <v>2019</v>
      </c>
    </row>
    <row r="76" spans="1:9" x14ac:dyDescent="0.2">
      <c r="A76" s="307" t="str">
        <f>'M-Mid Mgmt'!C22</f>
        <v>FNM201</v>
      </c>
      <c r="B76" t="str">
        <f>('M-Mid Mgmt'!D22)</f>
        <v>DEPUTY FIRE CHIEF</v>
      </c>
      <c r="C76" s="307" t="str">
        <f>'M-Mid Mgmt'!A16</f>
        <v>M02</v>
      </c>
      <c r="D76" s="307" t="s">
        <v>386</v>
      </c>
      <c r="E76" s="403">
        <f>'M-Mid Mgmt'!E16</f>
        <v>9438.7991666666658</v>
      </c>
      <c r="F76" s="403">
        <f>'M-Mid Mgmt'!F16</f>
        <v>11232.28125</v>
      </c>
      <c r="G76" s="403">
        <f>'M-Mid Mgmt'!G16</f>
        <v>13025.763333333334</v>
      </c>
      <c r="H76" s="307" t="s">
        <v>668</v>
      </c>
      <c r="I76" s="347">
        <f>'M-Mid Mgmt'!$H$1</f>
        <v>2019</v>
      </c>
    </row>
    <row r="77" spans="1:9" x14ac:dyDescent="0.2">
      <c r="A77" s="307" t="str">
        <f>'C- City Council'!C6</f>
        <v>CNC102</v>
      </c>
      <c r="B77" t="str">
        <f>'C- City Council'!D6</f>
        <v>DEPUTY MAYOR</v>
      </c>
      <c r="C77" s="307" t="str">
        <f>'C- City Council'!A6</f>
        <v>C02</v>
      </c>
      <c r="D77" s="307" t="s">
        <v>386</v>
      </c>
      <c r="E77" s="403" t="s">
        <v>665</v>
      </c>
      <c r="F77" s="403" t="s">
        <v>665</v>
      </c>
      <c r="G77" s="403">
        <f>'C- City Council'!E6</f>
        <v>2539</v>
      </c>
      <c r="H77" s="307" t="s">
        <v>668</v>
      </c>
      <c r="I77" s="409">
        <f>'C- City Council'!F1</f>
        <v>2019</v>
      </c>
    </row>
    <row r="78" spans="1:9" x14ac:dyDescent="0.2">
      <c r="A78" s="307" t="str">
        <f>'G - General Pay Plan'!C87</f>
        <v>DNG226</v>
      </c>
      <c r="B78" t="str">
        <f>'G - General Pay Plan'!D87</f>
        <v>DEVELOPMENT SVCS EDUCATION/TRAINING COORDINATOR</v>
      </c>
      <c r="C78" s="307" t="str">
        <f>'G - General Pay Plan'!A86</f>
        <v>G23</v>
      </c>
      <c r="D78" s="307" t="s">
        <v>386</v>
      </c>
      <c r="E78" s="403">
        <f>'G - General Pay Plan'!E86</f>
        <v>5469.7758333333331</v>
      </c>
      <c r="F78" s="403">
        <f>(E78+G78)/2</f>
        <v>6508.7583333333332</v>
      </c>
      <c r="G78" s="403">
        <f>'G - General Pay Plan'!G86</f>
        <v>7547.7408333333333</v>
      </c>
      <c r="H78" s="307" t="s">
        <v>668</v>
      </c>
      <c r="I78" s="348">
        <f>'G - General Pay Plan'!$H$1</f>
        <v>2019</v>
      </c>
    </row>
    <row r="79" spans="1:9" x14ac:dyDescent="0.2">
      <c r="A79" s="307" t="str">
        <f>'G - General Pay Plan'!C150</f>
        <v>GNG210</v>
      </c>
      <c r="B79" t="str">
        <f>('G - General Pay Plan'!D150)</f>
        <v>DIGITAL COMMUNICATIONS COORDINATOR</v>
      </c>
      <c r="C79" s="307" t="str">
        <f>'G - General Pay Plan'!A146</f>
        <v>G26</v>
      </c>
      <c r="D79" s="41" t="s">
        <v>386</v>
      </c>
      <c r="E79" s="403">
        <f>'G - General Pay Plan'!E146</f>
        <v>6347.9633333333331</v>
      </c>
      <c r="F79" s="403">
        <f>'G - General Pay Plan'!F146</f>
        <v>7553.2383333333337</v>
      </c>
      <c r="G79" s="403">
        <f>'G - General Pay Plan'!G146</f>
        <v>8758.5133333333342</v>
      </c>
      <c r="H79" s="41" t="s">
        <v>668</v>
      </c>
      <c r="I79" s="348">
        <f>'G - General Pay Plan'!$H$1</f>
        <v>2019</v>
      </c>
    </row>
    <row r="80" spans="1:9" x14ac:dyDescent="0.2">
      <c r="A80" s="307" t="str">
        <f>'E -Executive'!C3</f>
        <v>MNE101</v>
      </c>
      <c r="B80" s="2" t="str">
        <f>'E -Executive'!D3</f>
        <v>DIRECTOR, CIVIC SERVICES</v>
      </c>
      <c r="C80" s="307" t="str">
        <f>'E -Executive'!A3</f>
        <v>(E01)</v>
      </c>
      <c r="D80" s="41" t="s">
        <v>386</v>
      </c>
      <c r="E80" s="403">
        <f>'E -Executive'!E3</f>
        <v>10167.449999999999</v>
      </c>
      <c r="F80" s="403">
        <f t="shared" ref="F80:F88" si="0">(E80+G80)/2</f>
        <v>12069.807083333333</v>
      </c>
      <c r="G80" s="403">
        <f>'E -Executive'!G3</f>
        <v>13972.164166666667</v>
      </c>
      <c r="H80" s="41" t="s">
        <v>668</v>
      </c>
      <c r="I80" s="307">
        <f>'E -Executive'!H1</f>
        <v>2019</v>
      </c>
    </row>
    <row r="81" spans="1:9" x14ac:dyDescent="0.2">
      <c r="A81" s="307" t="str">
        <f>'E -Executive'!C16</f>
        <v>DNE103</v>
      </c>
      <c r="B81" t="str">
        <f>'E -Executive'!D16</f>
        <v>DIRECTOR, COMMUNITY DEVELOPMENT</v>
      </c>
      <c r="C81" s="307" t="str">
        <f>'E -Executive'!A7</f>
        <v>(E02)</v>
      </c>
      <c r="D81" s="307" t="s">
        <v>386</v>
      </c>
      <c r="E81" s="403">
        <f>'E -Executive'!E7</f>
        <v>10167.449999999999</v>
      </c>
      <c r="F81" s="403">
        <f t="shared" si="0"/>
        <v>13204.467083333333</v>
      </c>
      <c r="G81" s="403">
        <f>'E -Executive'!G7</f>
        <v>16241.484166666667</v>
      </c>
      <c r="H81" s="307" t="s">
        <v>668</v>
      </c>
      <c r="I81" s="347">
        <f>'E -Executive'!$H$1</f>
        <v>2019</v>
      </c>
    </row>
    <row r="82" spans="1:9" x14ac:dyDescent="0.2">
      <c r="A82" s="307" t="str">
        <f>'E -Executive'!C11</f>
        <v>DNE102</v>
      </c>
      <c r="B82" t="str">
        <f>'E -Executive'!D11</f>
        <v>DIRECTOR, DEVELOPMENT SERVICES</v>
      </c>
      <c r="C82" s="307" t="str">
        <f>'E -Executive'!A7</f>
        <v>(E02)</v>
      </c>
      <c r="D82" s="307" t="s">
        <v>386</v>
      </c>
      <c r="E82" s="403">
        <f>'E -Executive'!E7</f>
        <v>10167.449999999999</v>
      </c>
      <c r="F82" s="403">
        <f t="shared" si="0"/>
        <v>13204.467083333333</v>
      </c>
      <c r="G82" s="403">
        <f>'E -Executive'!G7</f>
        <v>16241.484166666667</v>
      </c>
      <c r="H82" s="307" t="s">
        <v>668</v>
      </c>
      <c r="I82" s="347">
        <f>'E -Executive'!$H$1</f>
        <v>2019</v>
      </c>
    </row>
    <row r="83" spans="1:9" x14ac:dyDescent="0.2">
      <c r="A83" s="307" t="str">
        <f>'E -Executive'!C12</f>
        <v>BNE102</v>
      </c>
      <c r="B83" t="str">
        <f>'E -Executive'!D12</f>
        <v>DIRECTOR, FINANCE AND ASSET MANAGEMENT</v>
      </c>
      <c r="C83" s="307" t="str">
        <f>'E -Executive'!A7</f>
        <v>(E02)</v>
      </c>
      <c r="D83" s="307" t="s">
        <v>386</v>
      </c>
      <c r="E83" s="403">
        <f>'E -Executive'!E7</f>
        <v>10167.449999999999</v>
      </c>
      <c r="F83" s="403">
        <f t="shared" si="0"/>
        <v>13204.467083333333</v>
      </c>
      <c r="G83" s="403">
        <f>'E -Executive'!G7</f>
        <v>16241.484166666667</v>
      </c>
      <c r="H83" s="307" t="s">
        <v>668</v>
      </c>
      <c r="I83" s="347">
        <f>'E -Executive'!$H$1</f>
        <v>2019</v>
      </c>
    </row>
    <row r="84" spans="1:9" x14ac:dyDescent="0.2">
      <c r="A84" s="307" t="str">
        <f>'E -Executive'!C13</f>
        <v>HNE101</v>
      </c>
      <c r="B84" t="str">
        <f>'E -Executive'!D13</f>
        <v>DIRECTOR, HUMAN RESOURCES</v>
      </c>
      <c r="C84" s="307" t="str">
        <f>'E -Executive'!A7</f>
        <v>(E02)</v>
      </c>
      <c r="D84" s="307" t="s">
        <v>386</v>
      </c>
      <c r="E84" s="403">
        <f>'E -Executive'!E7</f>
        <v>10167.449999999999</v>
      </c>
      <c r="F84" s="403">
        <f t="shared" si="0"/>
        <v>13204.467083333333</v>
      </c>
      <c r="G84" s="403">
        <f>'E -Executive'!G7</f>
        <v>16241.484166666667</v>
      </c>
      <c r="H84" s="307" t="s">
        <v>668</v>
      </c>
      <c r="I84" s="347">
        <f>'E -Executive'!$H$1</f>
        <v>2019</v>
      </c>
    </row>
    <row r="85" spans="1:9" s="3" customFormat="1" x14ac:dyDescent="0.2">
      <c r="A85" s="307" t="str">
        <f>'E -Executive'!C14</f>
        <v>GNE103</v>
      </c>
      <c r="B85" s="53" t="str">
        <f>'E -Executive'!D14</f>
        <v xml:space="preserve">DIRECTOR, INTERGOVERNMENTAL RELATIONS </v>
      </c>
      <c r="C85" s="307" t="str">
        <f>'E -Executive'!A7</f>
        <v>(E02)</v>
      </c>
      <c r="D85" s="307" t="s">
        <v>386</v>
      </c>
      <c r="E85" s="403">
        <f>'E -Executive'!E7</f>
        <v>10167.449999999999</v>
      </c>
      <c r="F85" s="403">
        <f t="shared" si="0"/>
        <v>13204.467083333333</v>
      </c>
      <c r="G85" s="403">
        <f>'E -Executive'!G7</f>
        <v>16241.484166666667</v>
      </c>
      <c r="H85" s="307" t="s">
        <v>668</v>
      </c>
      <c r="I85" s="347">
        <f>'E -Executive'!$H$1</f>
        <v>2019</v>
      </c>
    </row>
    <row r="86" spans="1:9" x14ac:dyDescent="0.2">
      <c r="A86" s="307" t="str">
        <f>'E -Executive'!C15</f>
        <v>RNE101</v>
      </c>
      <c r="B86" t="str">
        <f>'E -Executive'!D15</f>
        <v>DIRECTOR, PARKS &amp; COMMUNITY SERVICES</v>
      </c>
      <c r="C86" s="307" t="str">
        <f>'E -Executive'!A7</f>
        <v>(E02)</v>
      </c>
      <c r="D86" s="307" t="s">
        <v>386</v>
      </c>
      <c r="E86" s="403">
        <f>'E -Executive'!E7</f>
        <v>10167.449999999999</v>
      </c>
      <c r="F86" s="403">
        <f t="shared" si="0"/>
        <v>13204.467083333333</v>
      </c>
      <c r="G86" s="403">
        <f>'E -Executive'!G7</f>
        <v>16241.484166666667</v>
      </c>
      <c r="H86" s="307" t="s">
        <v>668</v>
      </c>
      <c r="I86" s="347">
        <f>'E -Executive'!$H$1</f>
        <v>2019</v>
      </c>
    </row>
    <row r="87" spans="1:9" x14ac:dyDescent="0.2">
      <c r="A87" s="307" t="str">
        <f>'E -Executive'!C17</f>
        <v>ENE101</v>
      </c>
      <c r="B87" t="str">
        <f>'E -Executive'!D17</f>
        <v>DIRECTOR, TRANSPORTATION</v>
      </c>
      <c r="C87" s="307" t="str">
        <f>'E -Executive'!A7</f>
        <v>(E02)</v>
      </c>
      <c r="D87" s="307" t="s">
        <v>386</v>
      </c>
      <c r="E87" s="403">
        <f>'E -Executive'!E7</f>
        <v>10167.449999999999</v>
      </c>
      <c r="F87" s="403">
        <f t="shared" si="0"/>
        <v>13204.467083333333</v>
      </c>
      <c r="G87" s="403">
        <f>'E -Executive'!G7</f>
        <v>16241.484166666667</v>
      </c>
      <c r="H87" s="307" t="s">
        <v>668</v>
      </c>
      <c r="I87" s="347">
        <f>'E -Executive'!$H$1</f>
        <v>2019</v>
      </c>
    </row>
    <row r="88" spans="1:9" x14ac:dyDescent="0.2">
      <c r="A88" s="307" t="str">
        <f>'E -Executive'!C18</f>
        <v>ENE102</v>
      </c>
      <c r="B88" t="str">
        <f>'E -Executive'!D18</f>
        <v>DIRECTOR, UTILITIES</v>
      </c>
      <c r="C88" s="307" t="str">
        <f>'E -Executive'!A7</f>
        <v>(E02)</v>
      </c>
      <c r="D88" s="307" t="s">
        <v>386</v>
      </c>
      <c r="E88" s="403">
        <f>'E -Executive'!E7</f>
        <v>10167.449999999999</v>
      </c>
      <c r="F88" s="403">
        <f t="shared" si="0"/>
        <v>13204.467083333333</v>
      </c>
      <c r="G88" s="403">
        <f>'E -Executive'!G7</f>
        <v>16241.484166666667</v>
      </c>
      <c r="H88" s="307" t="s">
        <v>668</v>
      </c>
      <c r="I88" s="347">
        <f>'E -Executive'!$H$1</f>
        <v>2019</v>
      </c>
    </row>
    <row r="89" spans="1:9" x14ac:dyDescent="0.2">
      <c r="A89" s="307" t="str">
        <f>'G - General Pay Plan'!C151</f>
        <v>ANG222</v>
      </c>
      <c r="B89" t="str">
        <f>'G - General Pay Plan'!D151</f>
        <v>DIVERSITY, INCLUSION &amp; OUTREACH ADMINISTRATOR</v>
      </c>
      <c r="C89" s="307" t="str">
        <f>'G - General Pay Plan'!A146</f>
        <v>G26</v>
      </c>
      <c r="D89" s="307" t="s">
        <v>386</v>
      </c>
      <c r="E89" s="403">
        <f>'G - General Pay Plan'!E146</f>
        <v>6347.9633333333331</v>
      </c>
      <c r="F89" s="403">
        <f>'G - General Pay Plan'!F146</f>
        <v>7553.2383333333337</v>
      </c>
      <c r="G89" s="403">
        <f>'G - General Pay Plan'!G146</f>
        <v>8758.5133333333342</v>
      </c>
      <c r="H89" s="41" t="s">
        <v>668</v>
      </c>
      <c r="I89" s="348">
        <f>'G - General Pay Plan'!$H$1</f>
        <v>2019</v>
      </c>
    </row>
    <row r="90" spans="1:9" x14ac:dyDescent="0.2">
      <c r="A90" s="307" t="str">
        <f>'G - General Pay Plan'!C194</f>
        <v>GNG211</v>
      </c>
      <c r="B90" t="str">
        <f>'G - General Pay Plan'!D194</f>
        <v>ECONOMIC DEVELOPMENT MANAGER</v>
      </c>
      <c r="C90" s="307" t="str">
        <f>'G - General Pay Plan'!A192</f>
        <v>G28</v>
      </c>
      <c r="D90" s="307" t="s">
        <v>386</v>
      </c>
      <c r="E90" s="403">
        <f>'G - General Pay Plan'!E192</f>
        <v>7010.3841666666667</v>
      </c>
      <c r="F90" s="403">
        <f>'G - General Pay Plan'!F192</f>
        <v>8341.4087500000005</v>
      </c>
      <c r="G90" s="403">
        <f>'G - General Pay Plan'!G192</f>
        <v>9672.4333333333325</v>
      </c>
      <c r="H90" s="307" t="s">
        <v>668</v>
      </c>
      <c r="I90" s="348">
        <f>'G - General Pay Plan'!$H$1</f>
        <v>2019</v>
      </c>
    </row>
    <row r="91" spans="1:9" x14ac:dyDescent="0.2">
      <c r="A91" s="307" t="str">
        <f>'G - General Pay Plan'!C88</f>
        <v>SNG201</v>
      </c>
      <c r="B91" t="str">
        <f>('G - General Pay Plan'!D88)</f>
        <v>ELECTRONIC HOME DETENTION COORDINATOR</v>
      </c>
      <c r="C91" s="307" t="str">
        <f>'G - General Pay Plan'!A86</f>
        <v>G23</v>
      </c>
      <c r="D91" s="307" t="s">
        <v>386</v>
      </c>
      <c r="E91" s="403">
        <f>'G - General Pay Plan'!E86</f>
        <v>5469.7758333333331</v>
      </c>
      <c r="F91" s="403">
        <f>'G - General Pay Plan'!F86</f>
        <v>6508.7583333333341</v>
      </c>
      <c r="G91" s="403">
        <f>'G - General Pay Plan'!G86</f>
        <v>7547.7408333333333</v>
      </c>
      <c r="H91" s="307" t="s">
        <v>668</v>
      </c>
      <c r="I91" s="348">
        <f>'G - General Pay Plan'!$H$1</f>
        <v>2019</v>
      </c>
    </row>
    <row r="92" spans="1:9" x14ac:dyDescent="0.2">
      <c r="A92" s="67" t="str">
        <f>'I -Signals &amp; Electronics (rep)'!B15</f>
        <v>MRI301</v>
      </c>
      <c r="B92" t="str">
        <f>'I -Signals &amp; Electronics (rep)'!C15</f>
        <v>ELECTRONICS TECHNICIAN</v>
      </c>
      <c r="C92" s="67" t="str">
        <f>'I -Signals &amp; Electronics (rep)'!A15</f>
        <v>I04</v>
      </c>
      <c r="D92" s="67">
        <v>6</v>
      </c>
      <c r="E92" s="68">
        <f>'I -Signals &amp; Electronics (rep)'!D15</f>
        <v>5845.843332888001</v>
      </c>
      <c r="F92" s="68">
        <f>(E92+G92)/2</f>
        <v>6653.2219873600006</v>
      </c>
      <c r="G92" s="68">
        <f>'I -Signals &amp; Electronics (rep)'!I15</f>
        <v>7460.6006418319994</v>
      </c>
      <c r="H92" s="67" t="s">
        <v>669</v>
      </c>
      <c r="I92" s="347">
        <f>'I -Signals &amp; Electronics (rep)'!J1</f>
        <v>2018</v>
      </c>
    </row>
    <row r="93" spans="1:9" x14ac:dyDescent="0.2">
      <c r="A93" s="307" t="str">
        <f>'G - General Pay Plan'!C89</f>
        <v>GNG202</v>
      </c>
      <c r="B93" t="str">
        <f>('G - General Pay Plan'!D89)</f>
        <v>EMERGENCY PREPAREDNESS COORDINATOR</v>
      </c>
      <c r="C93" s="307" t="str">
        <f>'G - General Pay Plan'!A86</f>
        <v>G23</v>
      </c>
      <c r="D93" s="307" t="s">
        <v>386</v>
      </c>
      <c r="E93" s="403">
        <f>'G - General Pay Plan'!E86</f>
        <v>5469.7758333333331</v>
      </c>
      <c r="F93" s="403">
        <f>'G - General Pay Plan'!F86</f>
        <v>6508.7583333333341</v>
      </c>
      <c r="G93" s="403">
        <f>'G - General Pay Plan'!G86</f>
        <v>7547.7408333333333</v>
      </c>
      <c r="H93" s="307" t="s">
        <v>668</v>
      </c>
      <c r="I93" s="348">
        <f>'G - General Pay Plan'!$H$1</f>
        <v>2019</v>
      </c>
    </row>
    <row r="94" spans="1:9" x14ac:dyDescent="0.2">
      <c r="A94" s="307" t="str">
        <f>'G - General Pay Plan'!C223</f>
        <v>GNG203</v>
      </c>
      <c r="B94" t="str">
        <f>'G - General Pay Plan'!D223</f>
        <v>EMERGENCY PREPAREDNESS MANAGER</v>
      </c>
      <c r="C94" s="307" t="str">
        <f>'G - General Pay Plan'!A219</f>
        <v>G30</v>
      </c>
      <c r="D94" s="66" t="s">
        <v>386</v>
      </c>
      <c r="E94" s="403">
        <f>'G - General Pay Plan'!E219</f>
        <v>7741.52</v>
      </c>
      <c r="F94" s="403">
        <f>'G - General Pay Plan'!F219</f>
        <v>9211.350833333332</v>
      </c>
      <c r="G94" s="403">
        <f>'G - General Pay Plan'!G219</f>
        <v>10681.181666666665</v>
      </c>
      <c r="H94" s="66" t="s">
        <v>668</v>
      </c>
      <c r="I94" s="348">
        <f>'G - General Pay Plan'!$H$1</f>
        <v>2019</v>
      </c>
    </row>
    <row r="95" spans="1:9" x14ac:dyDescent="0.2">
      <c r="A95" s="307" t="str">
        <f>'G - General Pay Plan'!C69</f>
        <v>GNG501</v>
      </c>
      <c r="B95" t="str">
        <f>'G - General Pay Plan'!D69</f>
        <v>EMERGENCY PREPAREDNESS PLANS COORDINATOR</v>
      </c>
      <c r="C95" s="307" t="str">
        <f>'G - General Pay Plan'!A64</f>
        <v>G21</v>
      </c>
      <c r="D95" s="307" t="s">
        <v>386</v>
      </c>
      <c r="E95" s="403">
        <f>'G - General Pay Plan'!E64</f>
        <v>4953.0333333333338</v>
      </c>
      <c r="F95" s="403">
        <f>'G - General Pay Plan'!F64</f>
        <v>5893.7524999999996</v>
      </c>
      <c r="G95" s="403">
        <f>'G - General Pay Plan'!G64</f>
        <v>6834.4716666666673</v>
      </c>
      <c r="H95" s="307" t="s">
        <v>669</v>
      </c>
      <c r="I95" s="348">
        <f>'G - General Pay Plan'!$H$1</f>
        <v>2019</v>
      </c>
    </row>
    <row r="96" spans="1:9" x14ac:dyDescent="0.2">
      <c r="A96" s="307" t="str">
        <f>'G - General Pay Plan'!C153</f>
        <v>ENG201</v>
      </c>
      <c r="B96" t="str">
        <f>('G - General Pay Plan'!D153)</f>
        <v>ENGINEER, TRANSPORTATION</v>
      </c>
      <c r="C96" s="307" t="str">
        <f>'G - General Pay Plan'!A146</f>
        <v>G26</v>
      </c>
      <c r="D96" s="307" t="s">
        <v>386</v>
      </c>
      <c r="E96" s="403">
        <f>'G - General Pay Plan'!E146</f>
        <v>6347.9633333333331</v>
      </c>
      <c r="F96" s="403">
        <f>'G - General Pay Plan'!F146</f>
        <v>7553.2383333333337</v>
      </c>
      <c r="G96" s="403">
        <f>'G - General Pay Plan'!G146</f>
        <v>8758.5133333333342</v>
      </c>
      <c r="H96" s="307" t="s">
        <v>668</v>
      </c>
      <c r="I96" s="348">
        <f>'G - General Pay Plan'!$H$1</f>
        <v>2019</v>
      </c>
    </row>
    <row r="97" spans="1:9" x14ac:dyDescent="0.2">
      <c r="A97" s="307" t="str">
        <f>'G - General Pay Plan'!C154</f>
        <v>ENG203</v>
      </c>
      <c r="B97" t="str">
        <f>('G - General Pay Plan'!D154)</f>
        <v>ENGINEER, UTILITIES</v>
      </c>
      <c r="C97" s="307" t="str">
        <f>'G - General Pay Plan'!A146</f>
        <v>G26</v>
      </c>
      <c r="D97" s="307" t="s">
        <v>386</v>
      </c>
      <c r="E97" s="403">
        <f>'G - General Pay Plan'!E146</f>
        <v>6347.9633333333331</v>
      </c>
      <c r="F97" s="403">
        <f>'G - General Pay Plan'!F146</f>
        <v>7553.2383333333337</v>
      </c>
      <c r="G97" s="403">
        <f>'G - General Pay Plan'!G146</f>
        <v>8758.5133333333342</v>
      </c>
      <c r="H97" s="307" t="s">
        <v>668</v>
      </c>
      <c r="I97" s="348">
        <f>'G - General Pay Plan'!$H$1</f>
        <v>2019</v>
      </c>
    </row>
    <row r="98" spans="1:9" x14ac:dyDescent="0.2">
      <c r="A98" s="307" t="str">
        <f>'G - General Pay Plan'!C28</f>
        <v>ENG301</v>
      </c>
      <c r="B98" t="str">
        <f>('G - General Pay Plan'!D28)</f>
        <v>ENGINEERING AIDE</v>
      </c>
      <c r="C98" s="307" t="str">
        <f>'G - General Pay Plan'!A27</f>
        <v>G14</v>
      </c>
      <c r="D98" s="307" t="s">
        <v>386</v>
      </c>
      <c r="E98" s="403">
        <f>'G - General Pay Plan'!E27</f>
        <v>3500.3816666666667</v>
      </c>
      <c r="F98" s="403">
        <f>(E98+G98)/2</f>
        <v>4164.8633333333337</v>
      </c>
      <c r="G98" s="403">
        <f>'G - General Pay Plan'!G27</f>
        <v>4829.3450000000003</v>
      </c>
      <c r="H98" s="307" t="s">
        <v>669</v>
      </c>
      <c r="I98" s="348">
        <f>'G - General Pay Plan'!$H$1</f>
        <v>2019</v>
      </c>
    </row>
    <row r="99" spans="1:9" x14ac:dyDescent="0.2">
      <c r="A99" s="307" t="str">
        <f>'G - General Pay Plan'!C262</f>
        <v>ENG205</v>
      </c>
      <c r="B99" t="str">
        <f>('G - General Pay Plan'!D262)</f>
        <v>ENGINEERING MANAGER, TRANSPORTATION</v>
      </c>
      <c r="C99" s="307" t="str">
        <f>'G - General Pay Plan'!A262</f>
        <v>G32</v>
      </c>
      <c r="D99" s="307" t="s">
        <v>386</v>
      </c>
      <c r="E99" s="403">
        <f>'G - General Pay Plan'!E262</f>
        <v>8548.2433333333338</v>
      </c>
      <c r="F99" s="403">
        <f>'G - General Pay Plan'!F262</f>
        <v>10171.997083333334</v>
      </c>
      <c r="G99" s="403">
        <f>'G - General Pay Plan'!G262</f>
        <v>11795.750833333334</v>
      </c>
      <c r="H99" s="307" t="s">
        <v>668</v>
      </c>
      <c r="I99" s="348">
        <f>'G - General Pay Plan'!$H$1</f>
        <v>2019</v>
      </c>
    </row>
    <row r="100" spans="1:9" x14ac:dyDescent="0.2">
      <c r="A100" s="307" t="str">
        <f>'G - General Pay Plan'!C263</f>
        <v>ENG206</v>
      </c>
      <c r="B100" t="str">
        <f>('G - General Pay Plan'!D263)</f>
        <v>ENGINEERING MANAGER, UTILITIES</v>
      </c>
      <c r="C100" s="307" t="str">
        <f>'G - General Pay Plan'!A262</f>
        <v>G32</v>
      </c>
      <c r="D100" s="307" t="s">
        <v>386</v>
      </c>
      <c r="E100" s="403">
        <f>'G - General Pay Plan'!E262</f>
        <v>8548.2433333333338</v>
      </c>
      <c r="F100" s="403">
        <f>'G - General Pay Plan'!F262</f>
        <v>10171.997083333334</v>
      </c>
      <c r="G100" s="403">
        <f>'G - General Pay Plan'!G262</f>
        <v>11795.750833333334</v>
      </c>
      <c r="H100" s="307" t="s">
        <v>668</v>
      </c>
      <c r="I100" s="348">
        <f>'G - General Pay Plan'!$H$1</f>
        <v>2019</v>
      </c>
    </row>
    <row r="101" spans="1:9" x14ac:dyDescent="0.2">
      <c r="A101" s="307" t="str">
        <f>'G - General Pay Plan'!C224</f>
        <v>ENG218</v>
      </c>
      <c r="B101" t="str">
        <f>'G - General Pay Plan'!D224</f>
        <v>ENGINEERING SUPERVISOR, TRANSPORTATION</v>
      </c>
      <c r="C101" s="307" t="str">
        <f>'G - General Pay Plan'!A219</f>
        <v>G30</v>
      </c>
      <c r="D101" s="41" t="s">
        <v>386</v>
      </c>
      <c r="E101" s="403">
        <f>'G - General Pay Plan'!E219</f>
        <v>7741.52</v>
      </c>
      <c r="F101" s="403">
        <f>'G - General Pay Plan'!F219</f>
        <v>9211.350833333332</v>
      </c>
      <c r="G101" s="403">
        <f>'G - General Pay Plan'!G219</f>
        <v>10681.181666666665</v>
      </c>
      <c r="H101" s="41" t="s">
        <v>668</v>
      </c>
      <c r="I101" s="348">
        <f>'G - General Pay Plan'!$H$1</f>
        <v>2019</v>
      </c>
    </row>
    <row r="102" spans="1:9" x14ac:dyDescent="0.2">
      <c r="A102" s="307" t="str">
        <f>'G - General Pay Plan'!C225</f>
        <v>ENG207</v>
      </c>
      <c r="B102" t="str">
        <f>('G - General Pay Plan'!D225)</f>
        <v>ENGINEERING SUPERVISOR, UTILITIES</v>
      </c>
      <c r="C102" s="307" t="str">
        <f>'G - General Pay Plan'!A219</f>
        <v>G30</v>
      </c>
      <c r="D102" s="307" t="s">
        <v>386</v>
      </c>
      <c r="E102" s="403">
        <f>'G - General Pay Plan'!E219</f>
        <v>7741.52</v>
      </c>
      <c r="F102" s="403">
        <f>'G - General Pay Plan'!F219</f>
        <v>9211.350833333332</v>
      </c>
      <c r="G102" s="403">
        <f>'G - General Pay Plan'!G219</f>
        <v>10681.181666666665</v>
      </c>
      <c r="H102" s="307" t="s">
        <v>668</v>
      </c>
      <c r="I102" s="348">
        <f>'G - General Pay Plan'!$H$1</f>
        <v>2019</v>
      </c>
    </row>
    <row r="103" spans="1:9" x14ac:dyDescent="0.2">
      <c r="A103" s="307" t="str">
        <f>'G - General Pay Plan'!C68</f>
        <v>ENG302</v>
      </c>
      <c r="B103" t="str">
        <f>('G - General Pay Plan'!D68)</f>
        <v>ENGINEERING TECHNICIAN</v>
      </c>
      <c r="C103" s="155" t="str">
        <f>'G - General Pay Plan'!A64</f>
        <v>G21</v>
      </c>
      <c r="D103" s="307" t="s">
        <v>386</v>
      </c>
      <c r="E103" s="403">
        <f>'G - General Pay Plan'!E64</f>
        <v>4953.0333333333338</v>
      </c>
      <c r="F103" s="403">
        <f>'G - General Pay Plan'!F64</f>
        <v>5893.7524999999996</v>
      </c>
      <c r="G103" s="403">
        <f>'G - General Pay Plan'!G64</f>
        <v>6834.4716666666673</v>
      </c>
      <c r="H103" s="307" t="s">
        <v>669</v>
      </c>
      <c r="I103" s="348">
        <f>'G - General Pay Plan'!$H$1</f>
        <v>2019</v>
      </c>
    </row>
    <row r="104" spans="1:9" x14ac:dyDescent="0.2">
      <c r="A104" s="307" t="str">
        <f>'G - General Pay Plan'!C152</f>
        <v>ANG217</v>
      </c>
      <c r="B104" t="str">
        <f>'G - General Pay Plan'!D152</f>
        <v>ENTERPRISE CONTENT BUSINESS ADMINISTRATOR</v>
      </c>
      <c r="C104" s="155" t="str">
        <f>'G - General Pay Plan'!A146</f>
        <v>G26</v>
      </c>
      <c r="D104" s="66" t="s">
        <v>386</v>
      </c>
      <c r="E104" s="403">
        <f>'G - General Pay Plan'!E146</f>
        <v>6347.9633333333331</v>
      </c>
      <c r="F104" s="403">
        <f>'G - General Pay Plan'!F146</f>
        <v>7553.2383333333337</v>
      </c>
      <c r="G104" s="403">
        <f>'G - General Pay Plan'!G146</f>
        <v>8758.5133333333342</v>
      </c>
      <c r="H104" s="66" t="s">
        <v>668</v>
      </c>
      <c r="I104" s="348">
        <f>'G - General Pay Plan'!$H$1</f>
        <v>2019</v>
      </c>
    </row>
    <row r="105" spans="1:9" x14ac:dyDescent="0.2">
      <c r="A105" s="307" t="str">
        <f>'G - General Pay Plan'!C195</f>
        <v>ANG218</v>
      </c>
      <c r="B105" t="str">
        <f>'G - General Pay Plan'!D195</f>
        <v>ENTERPRISE CONTENT BUSINESS MANAGER</v>
      </c>
      <c r="C105" s="307" t="str">
        <f>'G - General Pay Plan'!A192</f>
        <v>G28</v>
      </c>
      <c r="D105" s="66" t="s">
        <v>386</v>
      </c>
      <c r="E105" s="403">
        <f>'G - General Pay Plan'!E192</f>
        <v>7010.3841666666667</v>
      </c>
      <c r="F105" s="403">
        <f>'G - General Pay Plan'!F192</f>
        <v>8341.4087500000005</v>
      </c>
      <c r="G105" s="403">
        <f>'G - General Pay Plan'!G192</f>
        <v>9672.4333333333325</v>
      </c>
      <c r="H105" s="66" t="s">
        <v>668</v>
      </c>
      <c r="I105" s="348">
        <f>'G - General Pay Plan'!$H$1</f>
        <v>2019</v>
      </c>
    </row>
    <row r="106" spans="1:9" x14ac:dyDescent="0.2">
      <c r="A106" s="307" t="str">
        <f>'G - General Pay Plan'!C171</f>
        <v>ENG303</v>
      </c>
      <c r="B106" t="str">
        <f>('G - General Pay Plan'!D171)</f>
        <v>ENVIRONMENTAL SCIENTIST</v>
      </c>
      <c r="C106" s="307" t="str">
        <f>'G - General Pay Plan'!A169</f>
        <v>G27</v>
      </c>
      <c r="D106" s="307" t="s">
        <v>386</v>
      </c>
      <c r="E106" s="403">
        <f>'G - General Pay Plan'!E169</f>
        <v>6670.9283333333333</v>
      </c>
      <c r="F106" s="403">
        <f>'G - General Pay Plan'!F169</f>
        <v>7938.0475000000006</v>
      </c>
      <c r="G106" s="403">
        <f>'G - General Pay Plan'!G169</f>
        <v>9205.1666666666661</v>
      </c>
      <c r="H106" s="307" t="s">
        <v>668</v>
      </c>
      <c r="I106" s="348">
        <f>'G - General Pay Plan'!$H$1</f>
        <v>2019</v>
      </c>
    </row>
    <row r="107" spans="1:9" x14ac:dyDescent="0.2">
      <c r="A107" s="307" t="str">
        <f>'G - General Pay Plan'!C252</f>
        <v>ING214</v>
      </c>
      <c r="B107" s="3" t="str">
        <f>('G - General Pay Plan'!D252)</f>
        <v>ERP PROJECT SUPERVISOR</v>
      </c>
      <c r="C107" s="307" t="str">
        <f>'G - General Pay Plan'!A248</f>
        <v>G31</v>
      </c>
      <c r="D107" s="307" t="s">
        <v>386</v>
      </c>
      <c r="E107" s="403">
        <f>'G - General Pay Plan'!E248</f>
        <v>8134.5749999999998</v>
      </c>
      <c r="F107" s="403">
        <f>'G - General Pay Plan'!F248</f>
        <v>9679.9929166666661</v>
      </c>
      <c r="G107" s="403">
        <f>'G - General Pay Plan'!G248</f>
        <v>11225.410833333333</v>
      </c>
      <c r="H107" s="307" t="s">
        <v>668</v>
      </c>
      <c r="I107" s="348">
        <f>'G - General Pay Plan'!$H$1</f>
        <v>2019</v>
      </c>
    </row>
    <row r="108" spans="1:9" x14ac:dyDescent="0.2">
      <c r="A108" s="307" t="str">
        <f>'M-Mid Mgmt'!C14</f>
        <v>INM202</v>
      </c>
      <c r="B108" s="53" t="str">
        <f>'M-Mid Mgmt'!D14</f>
        <v>EXEC DIR eCITY GOV ALLIANCE</v>
      </c>
      <c r="C108" s="155" t="str">
        <f>'M-Mid Mgmt'!A3</f>
        <v>M01</v>
      </c>
      <c r="D108" s="155" t="s">
        <v>386</v>
      </c>
      <c r="E108" s="403">
        <f>'M-Mid Mgmt'!E3</f>
        <v>8981.1525000000001</v>
      </c>
      <c r="F108" s="403">
        <f>'M-Mid Mgmt'!F3</f>
        <v>10689.426666666666</v>
      </c>
      <c r="G108" s="403">
        <f>'M-Mid Mgmt'!G3</f>
        <v>12397.700833333334</v>
      </c>
      <c r="H108" s="155" t="s">
        <v>668</v>
      </c>
      <c r="I108" s="347">
        <f>'M-Mid Mgmt'!$H$1</f>
        <v>2019</v>
      </c>
    </row>
    <row r="109" spans="1:9" x14ac:dyDescent="0.2">
      <c r="A109" s="307" t="str">
        <f>'G - General Pay Plan'!C75</f>
        <v>ANG503</v>
      </c>
      <c r="B109" t="str">
        <f>('G - General Pay Plan'!D75)</f>
        <v>EXECUTIVE ASSISTANT TO CITY COUNCIL</v>
      </c>
      <c r="C109" s="155" t="str">
        <f>'G - General Pay Plan'!A73</f>
        <v>G22</v>
      </c>
      <c r="D109" s="155" t="s">
        <v>386</v>
      </c>
      <c r="E109" s="403">
        <f>'G - General Pay Plan'!E73</f>
        <v>5205.9083333333338</v>
      </c>
      <c r="F109" s="403">
        <f>'G - General Pay Plan'!F73</f>
        <v>6195.4154166666667</v>
      </c>
      <c r="G109" s="403">
        <f>'G - General Pay Plan'!G73</f>
        <v>7184.9225000000006</v>
      </c>
      <c r="H109" s="155" t="s">
        <v>668</v>
      </c>
      <c r="I109" s="348">
        <f>'G - General Pay Plan'!$H$1</f>
        <v>2019</v>
      </c>
    </row>
    <row r="110" spans="1:9" x14ac:dyDescent="0.2">
      <c r="A110" s="307" t="str">
        <f>'G - General Pay Plan'!C76</f>
        <v>ANG502</v>
      </c>
      <c r="B110" t="str">
        <f>('G - General Pay Plan'!D76)</f>
        <v>EXECUTIVE ASSISTANT TO CITY MANAGER</v>
      </c>
      <c r="C110" s="307" t="str">
        <f>'G - General Pay Plan'!A73</f>
        <v>G22</v>
      </c>
      <c r="D110" s="307" t="s">
        <v>386</v>
      </c>
      <c r="E110" s="403">
        <f>'G - General Pay Plan'!E73</f>
        <v>5205.9083333333338</v>
      </c>
      <c r="F110" s="403">
        <f>'G - General Pay Plan'!F73</f>
        <v>6195.4154166666667</v>
      </c>
      <c r="G110" s="403">
        <f>'G - General Pay Plan'!G73</f>
        <v>7184.9225000000006</v>
      </c>
      <c r="H110" s="307" t="s">
        <v>668</v>
      </c>
      <c r="I110" s="348">
        <f>'G - General Pay Plan'!$H$1</f>
        <v>2019</v>
      </c>
    </row>
    <row r="111" spans="1:9" s="3" customFormat="1" x14ac:dyDescent="0.2">
      <c r="A111" s="307" t="str">
        <f>'G - General Pay Plan'!C226</f>
        <v>MNG201</v>
      </c>
      <c r="B111" t="str">
        <f>('G - General Pay Plan'!D226)</f>
        <v>FACILITIES MANAGER</v>
      </c>
      <c r="C111" s="155" t="str">
        <f>'G - General Pay Plan'!A219</f>
        <v>G30</v>
      </c>
      <c r="D111" s="307" t="s">
        <v>386</v>
      </c>
      <c r="E111" s="403">
        <f>'G - General Pay Plan'!E219</f>
        <v>7741.52</v>
      </c>
      <c r="F111" s="403">
        <f>'G - General Pay Plan'!F219</f>
        <v>9211.350833333332</v>
      </c>
      <c r="G111" s="403">
        <f>'G - General Pay Plan'!G219</f>
        <v>10681.181666666665</v>
      </c>
      <c r="H111" s="307" t="s">
        <v>668</v>
      </c>
      <c r="I111" s="348">
        <f>'G - General Pay Plan'!$H$1</f>
        <v>2019</v>
      </c>
    </row>
    <row r="112" spans="1:9" s="3" customFormat="1" x14ac:dyDescent="0.2">
      <c r="A112" s="307" t="str">
        <f>'G - General Pay Plan'!C115</f>
        <v>MNG701</v>
      </c>
      <c r="B112" t="str">
        <f>('G - General Pay Plan'!D115)</f>
        <v>FACILITIES OPERATIONS SPECIALIST</v>
      </c>
      <c r="C112" s="307" t="str">
        <f>'G - General Pay Plan'!A106</f>
        <v>G24</v>
      </c>
      <c r="D112" s="307" t="s">
        <v>386</v>
      </c>
      <c r="E112" s="403">
        <f>'G - General Pay Plan'!E106</f>
        <v>5748.7624999999998</v>
      </c>
      <c r="F112" s="403">
        <f>'G - General Pay Plan'!F106</f>
        <v>6840.65625</v>
      </c>
      <c r="G112" s="403">
        <f>'G - General Pay Plan'!G106</f>
        <v>7932.55</v>
      </c>
      <c r="H112" s="307" t="s">
        <v>669</v>
      </c>
      <c r="I112" s="348">
        <f>'G - General Pay Plan'!$H$1</f>
        <v>2019</v>
      </c>
    </row>
    <row r="113" spans="1:9" s="3" customFormat="1" x14ac:dyDescent="0.2">
      <c r="A113" s="307" t="str">
        <f>'G - General Pay Plan'!C134</f>
        <v>MNG210</v>
      </c>
      <c r="B113" t="str">
        <f>('G - General Pay Plan'!D134)</f>
        <v>FACILITIES OPERATIONS SUPERINTENDENT</v>
      </c>
      <c r="C113" s="307" t="str">
        <f>'G - General Pay Plan'!A133</f>
        <v>G25</v>
      </c>
      <c r="D113" s="307" t="s">
        <v>386</v>
      </c>
      <c r="E113" s="403">
        <f>'G - General Pay Plan'!E133</f>
        <v>6042.8658333333333</v>
      </c>
      <c r="F113" s="403">
        <f>'G - General Pay Plan'!F133</f>
        <v>7189.045000000001</v>
      </c>
      <c r="G113" s="403">
        <f>'G - General Pay Plan'!G133</f>
        <v>8335.2241666666669</v>
      </c>
      <c r="H113" s="307" t="s">
        <v>668</v>
      </c>
      <c r="I113" s="348">
        <f>'G - General Pay Plan'!$H$1</f>
        <v>2019</v>
      </c>
    </row>
    <row r="114" spans="1:9" s="3" customFormat="1" x14ac:dyDescent="0.2">
      <c r="A114" s="307" t="str">
        <f>'G - General Pay Plan'!C135</f>
        <v>DNG204</v>
      </c>
      <c r="B114" t="str">
        <f>('G - General Pay Plan'!D135)</f>
        <v>FACILITIES PLANNING COORDINATOR</v>
      </c>
      <c r="C114" s="307" t="str">
        <f>'G - General Pay Plan'!A133</f>
        <v>G25</v>
      </c>
      <c r="D114" s="307" t="s">
        <v>386</v>
      </c>
      <c r="E114" s="403">
        <f>'G - General Pay Plan'!E133</f>
        <v>6042.8658333333333</v>
      </c>
      <c r="F114" s="403">
        <f>'G - General Pay Plan'!F133</f>
        <v>7189.045000000001</v>
      </c>
      <c r="G114" s="403">
        <f>'G - General Pay Plan'!G133</f>
        <v>8335.2241666666669</v>
      </c>
      <c r="H114" s="307" t="s">
        <v>668</v>
      </c>
      <c r="I114" s="348">
        <f>'G - General Pay Plan'!$H$1</f>
        <v>2019</v>
      </c>
    </row>
    <row r="115" spans="1:9" s="3" customFormat="1" x14ac:dyDescent="0.2">
      <c r="A115" s="307" t="str">
        <f>'G - General Pay Plan'!C227</f>
        <v>DNG206</v>
      </c>
      <c r="B115" t="str">
        <f>('G - General Pay Plan'!D227)</f>
        <v>FACILITIES PLANNING MANAGER</v>
      </c>
      <c r="C115" s="307" t="str">
        <f>'G - General Pay Plan'!A219</f>
        <v>G30</v>
      </c>
      <c r="D115" s="307" t="s">
        <v>386</v>
      </c>
      <c r="E115" s="403">
        <f>'G - General Pay Plan'!E219</f>
        <v>7741.52</v>
      </c>
      <c r="F115" s="403">
        <f>'G - General Pay Plan'!F219</f>
        <v>9211.350833333332</v>
      </c>
      <c r="G115" s="403">
        <f>'G - General Pay Plan'!G219</f>
        <v>10681.181666666665</v>
      </c>
      <c r="H115" s="307" t="s">
        <v>668</v>
      </c>
      <c r="I115" s="348">
        <f>'G - General Pay Plan'!$H$1</f>
        <v>2019</v>
      </c>
    </row>
    <row r="116" spans="1:9" s="3" customFormat="1" x14ac:dyDescent="0.2">
      <c r="A116" s="307" t="str">
        <f>'G - General Pay Plan'!C155</f>
        <v>BNG206</v>
      </c>
      <c r="B116" t="str">
        <f>('G - General Pay Plan'!D155)</f>
        <v>FINANCE DIVISION ASSISTANT MANAGER</v>
      </c>
      <c r="C116" s="307" t="str">
        <f>'G - General Pay Plan'!A146</f>
        <v>G26</v>
      </c>
      <c r="D116" s="307" t="s">
        <v>386</v>
      </c>
      <c r="E116" s="403">
        <f>'G - General Pay Plan'!E146</f>
        <v>6347.9633333333331</v>
      </c>
      <c r="F116" s="403">
        <f>'G - General Pay Plan'!F146</f>
        <v>7553.2383333333337</v>
      </c>
      <c r="G116" s="403">
        <f>'G - General Pay Plan'!G146</f>
        <v>8758.5133333333342</v>
      </c>
      <c r="H116" s="307" t="s">
        <v>668</v>
      </c>
      <c r="I116" s="348">
        <f>'G - General Pay Plan'!$H$1</f>
        <v>2019</v>
      </c>
    </row>
    <row r="117" spans="1:9" s="3" customFormat="1" x14ac:dyDescent="0.2">
      <c r="A117" s="307" t="str">
        <f>'G - General Pay Plan'!C228</f>
        <v>BNG207</v>
      </c>
      <c r="B117" t="str">
        <f>('G - General Pay Plan'!D228)</f>
        <v>FINANCE DIVISION MANAGER</v>
      </c>
      <c r="C117" s="307" t="str">
        <f>'G - General Pay Plan'!A219</f>
        <v>G30</v>
      </c>
      <c r="D117" s="307" t="s">
        <v>386</v>
      </c>
      <c r="E117" s="403">
        <f>'G - General Pay Plan'!E219</f>
        <v>7741.52</v>
      </c>
      <c r="F117" s="403">
        <f>'G - General Pay Plan'!F219</f>
        <v>9211.350833333332</v>
      </c>
      <c r="G117" s="403">
        <f>'G - General Pay Plan'!G219</f>
        <v>10681.181666666665</v>
      </c>
      <c r="H117" s="307" t="s">
        <v>668</v>
      </c>
      <c r="I117" s="348">
        <f>'G - General Pay Plan'!$H$1</f>
        <v>2019</v>
      </c>
    </row>
    <row r="118" spans="1:9" s="3" customFormat="1" x14ac:dyDescent="0.2">
      <c r="A118" s="307" t="str">
        <f>'G - General Pay Plan'!C77</f>
        <v>BNG212</v>
      </c>
      <c r="B118" t="str">
        <f>('G - General Pay Plan'!D77)</f>
        <v>FINANCIAL ANALYST</v>
      </c>
      <c r="C118" s="307" t="str">
        <f>'G - General Pay Plan'!A73</f>
        <v>G22</v>
      </c>
      <c r="D118" s="307" t="s">
        <v>386</v>
      </c>
      <c r="E118" s="403">
        <f>'G - General Pay Plan'!E73</f>
        <v>5205.9083333333338</v>
      </c>
      <c r="F118" s="403">
        <f>'G - General Pay Plan'!F73</f>
        <v>6195.4154166666667</v>
      </c>
      <c r="G118" s="403">
        <f>'G - General Pay Plan'!G73</f>
        <v>7184.9225000000006</v>
      </c>
      <c r="H118" s="307" t="s">
        <v>668</v>
      </c>
      <c r="I118" s="348">
        <f>'G - General Pay Plan'!$H$1</f>
        <v>2019</v>
      </c>
    </row>
    <row r="119" spans="1:9" s="3" customFormat="1" x14ac:dyDescent="0.2">
      <c r="A119" s="156" t="str">
        <f>'U-Batt Chief (rep)'!C3</f>
        <v>FNU201</v>
      </c>
      <c r="B119" s="4" t="str">
        <f>'U-Batt Chief (rep)'!D3</f>
        <v>FIRE BATTALION CHIEF - ADMINISTRATIVE</v>
      </c>
      <c r="C119" s="156" t="str">
        <f>'U-Batt Chief (rep)'!A3</f>
        <v>U01</v>
      </c>
      <c r="D119" s="156" t="s">
        <v>386</v>
      </c>
      <c r="E119" s="408">
        <f>'U-Batt Chief (rep)'!E3</f>
        <v>0</v>
      </c>
      <c r="F119" s="408">
        <f>'U-Batt Chief (rep)'!F3</f>
        <v>0</v>
      </c>
      <c r="G119" s="408">
        <f>'U-Batt Chief (rep)'!G3</f>
        <v>12539.50525</v>
      </c>
      <c r="H119" s="156" t="s">
        <v>668</v>
      </c>
      <c r="I119" s="552">
        <f>'U-Batt Chief (rep)'!$H$1</f>
        <v>2019</v>
      </c>
    </row>
    <row r="120" spans="1:9" s="3" customFormat="1" x14ac:dyDescent="0.2">
      <c r="A120" s="156" t="str">
        <f>'L-Batt Chiefs (rep)'!C3</f>
        <v>FNL201</v>
      </c>
      <c r="B120" t="str">
        <f>('L-Batt Chiefs (rep)'!D3)</f>
        <v>FIRE BATTALION CHIEF - PLATOON</v>
      </c>
      <c r="C120" s="156" t="str">
        <f>'L-Batt Chiefs (rep)'!A3</f>
        <v>L01</v>
      </c>
      <c r="D120" s="156" t="s">
        <v>386</v>
      </c>
      <c r="E120" s="408">
        <f>'L-Batt Chiefs (rep)'!E3</f>
        <v>0</v>
      </c>
      <c r="F120" s="408">
        <f>'L-Batt Chiefs (rep)'!F3</f>
        <v>0</v>
      </c>
      <c r="G120" s="408">
        <f>'L-Batt Chiefs (rep)'!G3</f>
        <v>11774.183333333334</v>
      </c>
      <c r="H120" s="156" t="s">
        <v>668</v>
      </c>
      <c r="I120" s="552">
        <f>'L-Batt Chiefs (rep)'!$H$1</f>
        <v>2019</v>
      </c>
    </row>
    <row r="121" spans="1:9" s="3" customFormat="1" x14ac:dyDescent="0.2">
      <c r="A121" s="156" t="s">
        <v>340</v>
      </c>
      <c r="B121" t="s">
        <v>444</v>
      </c>
      <c r="C121" s="156" t="s">
        <v>423</v>
      </c>
      <c r="D121" s="156">
        <v>2</v>
      </c>
      <c r="E121" s="405">
        <v>8656.3861854113602</v>
      </c>
      <c r="F121" s="405" t="s">
        <v>665</v>
      </c>
      <c r="G121" s="405">
        <v>9192.2971067339495</v>
      </c>
      <c r="H121" s="156" t="s">
        <v>669</v>
      </c>
      <c r="I121" s="552">
        <f>'F - Firefighters (rep)'!I1</f>
        <v>2019</v>
      </c>
    </row>
    <row r="122" spans="1:9" s="3" customFormat="1" x14ac:dyDescent="0.2">
      <c r="A122" s="156" t="str">
        <f>'N-Fire (rep)'!B10</f>
        <v>FRN201</v>
      </c>
      <c r="B122" s="3" t="str">
        <f>('N-Fire (rep)'!C10)</f>
        <v>FIRE CAPTAIN (ADMINISTRATIVE)</v>
      </c>
      <c r="C122" s="156" t="str">
        <f>'N-Fire (rep)'!A10</f>
        <v>N07</v>
      </c>
      <c r="D122" s="156">
        <v>2</v>
      </c>
      <c r="E122" s="405">
        <f>'N-Fire (rep)'!G10</f>
        <v>10696.428969063752</v>
      </c>
      <c r="F122" s="405" t="s">
        <v>665</v>
      </c>
      <c r="G122" s="405">
        <f>'N-Fire (rep)'!H10</f>
        <v>11358.637537500003</v>
      </c>
      <c r="H122" s="156" t="s">
        <v>669</v>
      </c>
      <c r="I122" s="409">
        <f>'N-Fire (rep)'!$I$1</f>
        <v>2019</v>
      </c>
    </row>
    <row r="123" spans="1:9" s="3" customFormat="1" x14ac:dyDescent="0.2">
      <c r="A123" s="156" t="s">
        <v>342</v>
      </c>
      <c r="B123" t="s">
        <v>445</v>
      </c>
      <c r="C123" s="156" t="s">
        <v>415</v>
      </c>
      <c r="D123" s="156">
        <v>2</v>
      </c>
      <c r="E123" s="405">
        <v>9522.0248039524959</v>
      </c>
      <c r="F123" s="405" t="s">
        <v>665</v>
      </c>
      <c r="G123" s="405">
        <v>10111.526817407344</v>
      </c>
      <c r="H123" s="156" t="s">
        <v>669</v>
      </c>
      <c r="I123" s="552">
        <f>'F - Firefighters (rep)'!$I$1</f>
        <v>2019</v>
      </c>
    </row>
    <row r="124" spans="1:9" s="3" customFormat="1" x14ac:dyDescent="0.2">
      <c r="A124" s="156" t="str">
        <f>'N-Fire (rep)'!B11</f>
        <v>FRN403</v>
      </c>
      <c r="B124" t="str">
        <f>('N-Fire (rep)'!C11)</f>
        <v>FIRE CAPTAIN (SUPPLY &amp; MAINT COORD</v>
      </c>
      <c r="C124" s="156" t="str">
        <f>'N-Fire (rep)'!A10</f>
        <v>N07</v>
      </c>
      <c r="D124" s="156">
        <v>2</v>
      </c>
      <c r="E124" s="405">
        <f>'N-Fire (rep)'!G10</f>
        <v>10696.428969063752</v>
      </c>
      <c r="F124" s="405" t="s">
        <v>665</v>
      </c>
      <c r="G124" s="405">
        <f>'N-Fire (rep)'!H10</f>
        <v>11358.637537500003</v>
      </c>
      <c r="H124" s="156" t="s">
        <v>669</v>
      </c>
      <c r="I124" s="409">
        <f>'N-Fire (rep)'!$I$1</f>
        <v>2019</v>
      </c>
    </row>
    <row r="125" spans="1:9" s="3" customFormat="1" x14ac:dyDescent="0.2">
      <c r="A125" s="156" t="str">
        <f>'E -Executive'!C19</f>
        <v>FNE101</v>
      </c>
      <c r="B125" t="str">
        <f>'E -Executive'!D19</f>
        <v>FIRE CHIEF</v>
      </c>
      <c r="C125" s="156" t="str">
        <f>'E -Executive'!A7</f>
        <v>(E02)</v>
      </c>
      <c r="D125" s="156" t="s">
        <v>386</v>
      </c>
      <c r="E125" s="404">
        <f>'E -Executive'!E7</f>
        <v>10167.449999999999</v>
      </c>
      <c r="F125" s="404">
        <f>(E125+G125)/2</f>
        <v>13204.467083333333</v>
      </c>
      <c r="G125" s="404">
        <f>'E -Executive'!G7</f>
        <v>16241.484166666667</v>
      </c>
      <c r="H125" s="156" t="s">
        <v>668</v>
      </c>
      <c r="I125" s="409">
        <f>'E -Executive'!$H$1</f>
        <v>2019</v>
      </c>
    </row>
    <row r="126" spans="1:9" s="3" customFormat="1" x14ac:dyDescent="0.2">
      <c r="A126" s="156" t="str">
        <f>'G - General Pay Plan'!C90</f>
        <v>GNG212</v>
      </c>
      <c r="B126" t="str">
        <f>('G - General Pay Plan'!D90)</f>
        <v>FIRE EDUCATION COORDINATOR</v>
      </c>
      <c r="C126" s="156" t="str">
        <f>'G - General Pay Plan'!A86</f>
        <v>G23</v>
      </c>
      <c r="D126" s="156" t="s">
        <v>386</v>
      </c>
      <c r="E126" s="404">
        <f>'G - General Pay Plan'!E86</f>
        <v>5469.7758333333331</v>
      </c>
      <c r="F126" s="404">
        <f>'G - General Pay Plan'!F86</f>
        <v>6508.7583333333341</v>
      </c>
      <c r="G126" s="404">
        <f>'G - General Pay Plan'!G86</f>
        <v>7547.7408333333333</v>
      </c>
      <c r="H126" s="156" t="s">
        <v>668</v>
      </c>
      <c r="I126" s="552">
        <f>'G - General Pay Plan'!$H$1</f>
        <v>2019</v>
      </c>
    </row>
    <row r="127" spans="1:9" s="3" customFormat="1" x14ac:dyDescent="0.2">
      <c r="A127" s="156" t="s">
        <v>336</v>
      </c>
      <c r="B127" t="s">
        <v>439</v>
      </c>
      <c r="C127" s="156" t="s">
        <v>59</v>
      </c>
      <c r="D127" s="156">
        <v>5</v>
      </c>
      <c r="E127" s="405">
        <v>5715.2108098389344</v>
      </c>
      <c r="F127" s="405">
        <f>(E127+G127)/2</f>
        <v>6490.9244194388148</v>
      </c>
      <c r="G127" s="405">
        <v>7266.6380290386951</v>
      </c>
      <c r="H127" s="156" t="s">
        <v>669</v>
      </c>
      <c r="I127" s="552">
        <f>'F - Firefighters (rep)'!$I$1</f>
        <v>2019</v>
      </c>
    </row>
    <row r="128" spans="1:9" s="3" customFormat="1" x14ac:dyDescent="0.2">
      <c r="A128" s="156" t="s">
        <v>338</v>
      </c>
      <c r="B128" t="s">
        <v>440</v>
      </c>
      <c r="C128" s="156" t="s">
        <v>420</v>
      </c>
      <c r="D128" s="156">
        <v>5</v>
      </c>
      <c r="E128" s="405">
        <v>6000.9713503308813</v>
      </c>
      <c r="F128" s="405">
        <f>(E128+G128)/2</f>
        <v>6815.4706404107555</v>
      </c>
      <c r="G128" s="405">
        <v>7629.9699304906298</v>
      </c>
      <c r="H128" s="156" t="s">
        <v>669</v>
      </c>
      <c r="I128" s="552">
        <f>'F - Firefighters (rep)'!$I$1</f>
        <v>2019</v>
      </c>
    </row>
    <row r="129" spans="1:9" x14ac:dyDescent="0.2">
      <c r="A129" s="156" t="s">
        <v>337</v>
      </c>
      <c r="B129" t="s">
        <v>441</v>
      </c>
      <c r="C129" s="156" t="s">
        <v>60</v>
      </c>
      <c r="D129" s="156">
        <v>5</v>
      </c>
      <c r="E129" s="405">
        <v>6572.4924313147749</v>
      </c>
      <c r="F129" s="405">
        <f>(E129+G129)/2</f>
        <v>7464.5630823546371</v>
      </c>
      <c r="G129" s="405">
        <v>8356.6337333944994</v>
      </c>
      <c r="H129" s="156" t="s">
        <v>669</v>
      </c>
      <c r="I129" s="552">
        <f>'F - Firefighters (rep)'!$I$1</f>
        <v>2019</v>
      </c>
    </row>
    <row r="130" spans="1:9" x14ac:dyDescent="0.2">
      <c r="A130" s="156" t="s">
        <v>336</v>
      </c>
      <c r="B130" s="3" t="s">
        <v>642</v>
      </c>
      <c r="C130" s="156" t="s">
        <v>59</v>
      </c>
      <c r="D130" s="156">
        <v>5</v>
      </c>
      <c r="E130" s="405" t="s">
        <v>665</v>
      </c>
      <c r="F130" s="405" t="s">
        <v>665</v>
      </c>
      <c r="G130" s="405">
        <v>7702.6363107810175</v>
      </c>
      <c r="H130" s="156" t="s">
        <v>669</v>
      </c>
      <c r="I130" s="552">
        <f>'F - Firefighters (rep)'!$I$1</f>
        <v>2019</v>
      </c>
    </row>
    <row r="131" spans="1:9" s="3" customFormat="1" x14ac:dyDescent="0.2">
      <c r="A131" s="156" t="s">
        <v>341</v>
      </c>
      <c r="B131" t="s">
        <v>442</v>
      </c>
      <c r="C131" s="156" t="s">
        <v>421</v>
      </c>
      <c r="D131" s="156">
        <v>2</v>
      </c>
      <c r="E131" s="405">
        <v>7869.4419867376</v>
      </c>
      <c r="F131" s="405" t="s">
        <v>665</v>
      </c>
      <c r="G131" s="405">
        <v>8356.6337333944994</v>
      </c>
      <c r="H131" s="156" t="s">
        <v>669</v>
      </c>
      <c r="I131" s="552">
        <f>'F - Firefighters (rep)'!$I$1</f>
        <v>2019</v>
      </c>
    </row>
    <row r="132" spans="1:9" s="3" customFormat="1" x14ac:dyDescent="0.2">
      <c r="A132" s="156" t="str">
        <f>'N-Fire (rep)'!B3</f>
        <v>FRN401</v>
      </c>
      <c r="B132" s="3" t="str">
        <f>('N-Fire (rep)'!C3)</f>
        <v>FIRE LIEUTENANT (ADMINISTRATIVE)</v>
      </c>
      <c r="C132" s="156" t="str">
        <f>'N-Fire (rep)'!A3</f>
        <v>N05</v>
      </c>
      <c r="D132" s="156">
        <v>2</v>
      </c>
      <c r="E132" s="405">
        <f>'N-Fire (rep)'!G3</f>
        <v>9724.0263355125007</v>
      </c>
      <c r="F132" s="405" t="s">
        <v>665</v>
      </c>
      <c r="G132" s="405">
        <f>'N-Fire (rep)'!H3</f>
        <v>10326.034125</v>
      </c>
      <c r="H132" s="156" t="s">
        <v>669</v>
      </c>
      <c r="I132" s="409">
        <f>'N-Fire (rep)'!$I$1</f>
        <v>2019</v>
      </c>
    </row>
    <row r="133" spans="1:9" x14ac:dyDescent="0.2">
      <c r="A133" s="156" t="s">
        <v>339</v>
      </c>
      <c r="B133" t="s">
        <v>443</v>
      </c>
      <c r="C133" s="156" t="s">
        <v>422</v>
      </c>
      <c r="D133" s="156">
        <v>2</v>
      </c>
      <c r="E133" s="405">
        <v>8656.3861854113602</v>
      </c>
      <c r="F133" s="405" t="s">
        <v>665</v>
      </c>
      <c r="G133" s="405">
        <v>9192.2971067339495</v>
      </c>
      <c r="H133" s="156" t="s">
        <v>669</v>
      </c>
      <c r="I133" s="552">
        <f>'F - Firefighters (rep)'!$I$1</f>
        <v>2019</v>
      </c>
    </row>
    <row r="134" spans="1:9" x14ac:dyDescent="0.2">
      <c r="A134" s="67" t="str">
        <f>'V-Fire Marshal'!C3</f>
        <v>FNV201</v>
      </c>
      <c r="B134" t="str">
        <f>'V-Fire Marshal'!D3</f>
        <v>FIRE MARSHAL</v>
      </c>
      <c r="C134" s="67" t="str">
        <f>'V-Fire Marshal'!A3</f>
        <v>V01</v>
      </c>
      <c r="D134" s="67" t="s">
        <v>386</v>
      </c>
      <c r="E134" s="68">
        <f>'V-Fire Marshal'!E3</f>
        <v>10180.924166666666</v>
      </c>
      <c r="F134" s="68">
        <f>'V-Fire Marshal'!F3</f>
        <v>10810.824166666667</v>
      </c>
      <c r="G134" s="68">
        <f>'V-Fire Marshal'!G3</f>
        <v>11440.724166666667</v>
      </c>
      <c r="H134" s="67" t="s">
        <v>668</v>
      </c>
      <c r="I134" s="347">
        <f>'V-Fire Marshal'!$H$1</f>
        <v>2019</v>
      </c>
    </row>
    <row r="135" spans="1:9" s="3" customFormat="1" x14ac:dyDescent="0.2">
      <c r="A135" s="307" t="str">
        <f>'G - General Pay Plan'!C172</f>
        <v>ENG221</v>
      </c>
      <c r="B135" t="str">
        <f>'G - General Pay Plan'!D172</f>
        <v>FIRE PLAN REVIEWER</v>
      </c>
      <c r="C135" s="307" t="str">
        <f>'G - General Pay Plan'!A169</f>
        <v>G27</v>
      </c>
      <c r="D135" s="307" t="s">
        <v>386</v>
      </c>
      <c r="E135" s="403">
        <f>'G - General Pay Plan'!E169</f>
        <v>6670.9283333333333</v>
      </c>
      <c r="F135" s="403">
        <f>'G - General Pay Plan'!F169</f>
        <v>7938.0475000000006</v>
      </c>
      <c r="G135" s="403">
        <f>'G - General Pay Plan'!G169</f>
        <v>9205.1666666666661</v>
      </c>
      <c r="H135" s="307" t="s">
        <v>668</v>
      </c>
      <c r="I135" s="348">
        <f>'G - General Pay Plan'!$H$1</f>
        <v>2019</v>
      </c>
    </row>
    <row r="136" spans="1:9" x14ac:dyDescent="0.2">
      <c r="A136" s="156" t="str">
        <f>'K- Fire Prevention (rep)'!B3</f>
        <v>FRK303</v>
      </c>
      <c r="B136" t="str">
        <f>('K- Fire Prevention (rep)'!C3)</f>
        <v>FIRE PREVENTION OFFICER</v>
      </c>
      <c r="C136" s="156" t="str">
        <f>'K- Fire Prevention (rep)'!A3</f>
        <v>K01</v>
      </c>
      <c r="D136" s="156">
        <v>6</v>
      </c>
      <c r="E136" s="408">
        <f>'K- Fire Prevention (rep)'!D3</f>
        <v>6156.8620000000001</v>
      </c>
      <c r="F136" s="408">
        <f>(E136+G136)/2</f>
        <v>7074.8415000000005</v>
      </c>
      <c r="G136" s="408">
        <f>'K- Fire Prevention (rep)'!I3</f>
        <v>7992.8209999999999</v>
      </c>
      <c r="H136" s="156" t="s">
        <v>669</v>
      </c>
      <c r="I136" s="347">
        <f>'K- Fire Prevention (rep)'!$J$1</f>
        <v>2019</v>
      </c>
    </row>
    <row r="137" spans="1:9" x14ac:dyDescent="0.2">
      <c r="A137" s="307" t="str">
        <f>'G - General Pay Plan'!C230</f>
        <v>BNG215</v>
      </c>
      <c r="B137" t="str">
        <f>'G - General Pay Plan'!D230</f>
        <v>FISCAL LONG RANGE PLANNING ADMINISTRATOR</v>
      </c>
      <c r="C137" s="307" t="str">
        <f>'G - General Pay Plan'!A219</f>
        <v>G30</v>
      </c>
      <c r="D137" s="307" t="s">
        <v>386</v>
      </c>
      <c r="E137" s="403">
        <f>'G - General Pay Plan'!E219</f>
        <v>7741.52</v>
      </c>
      <c r="F137" s="403">
        <f>'G - General Pay Plan'!F219</f>
        <v>9211.350833333332</v>
      </c>
      <c r="G137" s="403">
        <f>'G - General Pay Plan'!G219</f>
        <v>10681.181666666665</v>
      </c>
      <c r="H137" s="307" t="s">
        <v>668</v>
      </c>
      <c r="I137" s="348">
        <f>'G - General Pay Plan'!$H$1</f>
        <v>2019</v>
      </c>
    </row>
    <row r="138" spans="1:9" x14ac:dyDescent="0.2">
      <c r="A138" s="156" t="str">
        <f>'G - General Pay Plan'!C229</f>
        <v>BNG210</v>
      </c>
      <c r="B138" t="str">
        <f>('G - General Pay Plan'!D229)</f>
        <v>FISCAL MANAGER</v>
      </c>
      <c r="C138" s="156" t="str">
        <f>'G - General Pay Plan'!A219</f>
        <v>G30</v>
      </c>
      <c r="D138" s="156" t="s">
        <v>386</v>
      </c>
      <c r="E138" s="404">
        <f>'G - General Pay Plan'!E219</f>
        <v>7741.52</v>
      </c>
      <c r="F138" s="404">
        <f>'G - General Pay Plan'!F219</f>
        <v>9211.350833333332</v>
      </c>
      <c r="G138" s="404">
        <f>'G - General Pay Plan'!G219</f>
        <v>10681.181666666665</v>
      </c>
      <c r="H138" s="156" t="s">
        <v>668</v>
      </c>
      <c r="I138" s="348">
        <f>'G - General Pay Plan'!$H$1</f>
        <v>2019</v>
      </c>
    </row>
    <row r="139" spans="1:9" x14ac:dyDescent="0.2">
      <c r="A139" s="307" t="str">
        <f>'G - General Pay Plan'!C156</f>
        <v>MNG211</v>
      </c>
      <c r="B139" s="71" t="str">
        <f>'G - General Pay Plan'!D156</f>
        <v>FLEET &amp; COMMUNICATIONS ADMINISTRATOR</v>
      </c>
      <c r="C139" s="307" t="str">
        <f>'G - General Pay Plan'!A146</f>
        <v>G26</v>
      </c>
      <c r="D139" s="66" t="s">
        <v>386</v>
      </c>
      <c r="E139" s="403">
        <f>'G - General Pay Plan'!E146</f>
        <v>6347.9633333333331</v>
      </c>
      <c r="F139" s="403">
        <f>'G - General Pay Plan'!F146</f>
        <v>7553.2383333333337</v>
      </c>
      <c r="G139" s="403">
        <f>'G - General Pay Plan'!G146</f>
        <v>8758.5133333333342</v>
      </c>
      <c r="H139" s="66" t="s">
        <v>668</v>
      </c>
      <c r="I139" s="348">
        <f>'G - General Pay Plan'!$H$1</f>
        <v>2019</v>
      </c>
    </row>
    <row r="140" spans="1:9" x14ac:dyDescent="0.2">
      <c r="A140" s="307" t="str">
        <f>'G - General Pay Plan'!C173</f>
        <v>MNG213</v>
      </c>
      <c r="B140" s="71" t="str">
        <f>'G - General Pay Plan'!D173</f>
        <v>FLEET &amp; COMMUNICATIONS PROGRAM MANAGER</v>
      </c>
      <c r="C140" s="307" t="str">
        <f>'G - General Pay Plan'!A169</f>
        <v>G27</v>
      </c>
      <c r="D140" s="66" t="s">
        <v>386</v>
      </c>
      <c r="E140" s="403">
        <f>'G - General Pay Plan'!E169</f>
        <v>6670.9283333333333</v>
      </c>
      <c r="F140" s="403">
        <f>'G - General Pay Plan'!F169</f>
        <v>7938.0475000000006</v>
      </c>
      <c r="G140" s="403">
        <f>'G - General Pay Plan'!G169</f>
        <v>9205.1666666666661</v>
      </c>
      <c r="H140" s="41" t="s">
        <v>668</v>
      </c>
      <c r="I140" s="348">
        <f>'G - General Pay Plan'!$H$1</f>
        <v>2019</v>
      </c>
    </row>
    <row r="141" spans="1:9" x14ac:dyDescent="0.2">
      <c r="A141" s="307" t="str">
        <f>'G - General Pay Plan'!C157</f>
        <v>PNG302</v>
      </c>
      <c r="B141" t="str">
        <f>('G - General Pay Plan'!D157)</f>
        <v>FORENSIC LAB MANAGER</v>
      </c>
      <c r="C141" s="307" t="str">
        <f>'G - General Pay Plan'!A146</f>
        <v>G26</v>
      </c>
      <c r="D141" s="307" t="s">
        <v>386</v>
      </c>
      <c r="E141" s="403">
        <f>'G - General Pay Plan'!E146</f>
        <v>6347.9633333333331</v>
      </c>
      <c r="F141" s="403">
        <f>'G - General Pay Plan'!F146</f>
        <v>7553.2383333333337</v>
      </c>
      <c r="G141" s="403">
        <f>'G - General Pay Plan'!G146</f>
        <v>8758.5133333333342</v>
      </c>
      <c r="H141" s="307" t="s">
        <v>668</v>
      </c>
      <c r="I141" s="348">
        <f>'G - General Pay Plan'!$H$1</f>
        <v>2019</v>
      </c>
    </row>
    <row r="142" spans="1:9" x14ac:dyDescent="0.2">
      <c r="A142" s="307" t="str">
        <f>'G - General Pay Plan'!C158</f>
        <v>MNG202</v>
      </c>
      <c r="B142" t="str">
        <f>('G - General Pay Plan'!D158)</f>
        <v>GOLF COURSE MAINTENANCE SUPERINTENDENT</v>
      </c>
      <c r="C142" s="307" t="str">
        <f>'G - General Pay Plan'!A146</f>
        <v>G26</v>
      </c>
      <c r="D142" s="307" t="s">
        <v>386</v>
      </c>
      <c r="E142" s="403">
        <f>'G - General Pay Plan'!E146</f>
        <v>6347.9633333333331</v>
      </c>
      <c r="F142" s="403">
        <f>'G - General Pay Plan'!F146</f>
        <v>7553.2383333333337</v>
      </c>
      <c r="G142" s="403">
        <f>'G - General Pay Plan'!G146</f>
        <v>8758.5133333333342</v>
      </c>
      <c r="H142" s="307" t="s">
        <v>668</v>
      </c>
      <c r="I142" s="348">
        <f>'G - General Pay Plan'!$H$1</f>
        <v>2019</v>
      </c>
    </row>
    <row r="143" spans="1:9" x14ac:dyDescent="0.2">
      <c r="A143" s="307" t="str">
        <f>'G - General Pay Plan'!C116</f>
        <v>ANG206</v>
      </c>
      <c r="B143" t="str">
        <f>('G - General Pay Plan'!D116)</f>
        <v>GRANT ADMINISTRATOR</v>
      </c>
      <c r="C143" s="307" t="str">
        <f>'G - General Pay Plan'!A106</f>
        <v>G24</v>
      </c>
      <c r="D143" s="307" t="s">
        <v>386</v>
      </c>
      <c r="E143" s="403">
        <f>'G - General Pay Plan'!E106</f>
        <v>5748.7624999999998</v>
      </c>
      <c r="F143" s="403">
        <f>'G - General Pay Plan'!F106</f>
        <v>6840.65625</v>
      </c>
      <c r="G143" s="403">
        <f>'G - General Pay Plan'!G106</f>
        <v>7932.55</v>
      </c>
      <c r="H143" s="307" t="s">
        <v>668</v>
      </c>
      <c r="I143" s="348">
        <f>'G - General Pay Plan'!$H$1</f>
        <v>2019</v>
      </c>
    </row>
    <row r="144" spans="1:9" x14ac:dyDescent="0.2">
      <c r="A144" s="307" t="str">
        <f>'G - General Pay Plan'!C91</f>
        <v>ANG207</v>
      </c>
      <c r="B144" t="str">
        <f>('G - General Pay Plan'!D91)</f>
        <v>HEARING EXAMINER OFFICE ADMINISTRATOR</v>
      </c>
      <c r="C144" s="307" t="str">
        <f>'G - General Pay Plan'!A86</f>
        <v>G23</v>
      </c>
      <c r="D144" s="307" t="s">
        <v>386</v>
      </c>
      <c r="E144" s="403">
        <f>'G - General Pay Plan'!E86</f>
        <v>5469.7758333333331</v>
      </c>
      <c r="F144" s="403">
        <f>'G - General Pay Plan'!F86</f>
        <v>6508.7583333333341</v>
      </c>
      <c r="G144" s="403">
        <f>'G - General Pay Plan'!G86</f>
        <v>7547.7408333333333</v>
      </c>
      <c r="H144" s="307" t="s">
        <v>668</v>
      </c>
      <c r="I144" s="348">
        <f>'G - General Pay Plan'!$H$1</f>
        <v>2019</v>
      </c>
    </row>
    <row r="145" spans="1:9" x14ac:dyDescent="0.2">
      <c r="A145" s="307" t="str">
        <f>'G - General Pay Plan'!C78</f>
        <v>RNG503</v>
      </c>
      <c r="B145" t="str">
        <f>('G - General Pay Plan'!D78)</f>
        <v>HOME LOAN REPAIR SPECIALIST</v>
      </c>
      <c r="C145" s="307" t="str">
        <f>'G - General Pay Plan'!A73</f>
        <v>G22</v>
      </c>
      <c r="D145" s="307" t="s">
        <v>386</v>
      </c>
      <c r="E145" s="403">
        <f>'G - General Pay Plan'!E73</f>
        <v>5205.9083333333338</v>
      </c>
      <c r="F145" s="403">
        <f>'G - General Pay Plan'!F73</f>
        <v>6195.4154166666667</v>
      </c>
      <c r="G145" s="403">
        <f>'G - General Pay Plan'!G73</f>
        <v>7184.9225000000006</v>
      </c>
      <c r="H145" s="307" t="s">
        <v>668</v>
      </c>
      <c r="I145" s="348">
        <f>'G - General Pay Plan'!$H$1</f>
        <v>2019</v>
      </c>
    </row>
    <row r="146" spans="1:9" x14ac:dyDescent="0.2">
      <c r="A146" s="307" t="str">
        <f>'G - General Pay Plan'!C79</f>
        <v>HNG203</v>
      </c>
      <c r="B146" t="str">
        <f>('G - General Pay Plan'!D79)</f>
        <v>HUMAN RESOURCES ANALYST</v>
      </c>
      <c r="C146" s="307" t="str">
        <f>'G - General Pay Plan'!A73</f>
        <v>G22</v>
      </c>
      <c r="D146" s="307" t="s">
        <v>386</v>
      </c>
      <c r="E146" s="403">
        <f>'G - General Pay Plan'!E73</f>
        <v>5205.9083333333338</v>
      </c>
      <c r="F146" s="403">
        <f>'G - General Pay Plan'!F73</f>
        <v>6195.4154166666667</v>
      </c>
      <c r="G146" s="403">
        <f>'G - General Pay Plan'!G73</f>
        <v>7184.9225000000006</v>
      </c>
      <c r="H146" s="307" t="s">
        <v>668</v>
      </c>
      <c r="I146" s="348">
        <f>'G - General Pay Plan'!$H$1</f>
        <v>2019</v>
      </c>
    </row>
    <row r="147" spans="1:9" x14ac:dyDescent="0.2">
      <c r="A147" s="156" t="str">
        <f>'G - General Pay Plan'!C51</f>
        <v>HNG501</v>
      </c>
      <c r="B147" t="str">
        <f>('G - General Pay Plan'!D51)</f>
        <v>HUMAN RESOURCES ASSISTANT</v>
      </c>
      <c r="C147" s="307" t="str">
        <f>'G - General Pay Plan'!A48</f>
        <v>G19</v>
      </c>
      <c r="D147" s="307" t="s">
        <v>386</v>
      </c>
      <c r="E147" s="403">
        <f>'G - General Pay Plan'!E48</f>
        <v>4485.7666666666664</v>
      </c>
      <c r="F147" s="403">
        <f>(E147+G147)/2</f>
        <v>5337.1550000000007</v>
      </c>
      <c r="G147" s="403">
        <f>'G - General Pay Plan'!G48</f>
        <v>6188.543333333334</v>
      </c>
      <c r="H147" s="307" t="s">
        <v>669</v>
      </c>
      <c r="I147" s="348">
        <f>'G - General Pay Plan'!$H$1</f>
        <v>2019</v>
      </c>
    </row>
    <row r="148" spans="1:9" x14ac:dyDescent="0.2">
      <c r="A148" s="307" t="str">
        <f>'G - General Pay Plan'!C273</f>
        <v>HNG209</v>
      </c>
      <c r="B148" s="71" t="str">
        <f>'G - General Pay Plan'!D273</f>
        <v>HUMAN RESOURCES DIVISION MANAGER</v>
      </c>
      <c r="C148" s="307" t="str">
        <f>'G - General Pay Plan'!A271</f>
        <v>G33</v>
      </c>
      <c r="D148" s="66" t="s">
        <v>386</v>
      </c>
      <c r="E148" s="403">
        <f>'G - General Pay Plan'!E271</f>
        <v>8981.1525000000001</v>
      </c>
      <c r="F148" s="403">
        <f>'G - General Pay Plan'!F271</f>
        <v>10689.426666666666</v>
      </c>
      <c r="G148" s="403">
        <f>'G - General Pay Plan'!G271</f>
        <v>12397.700833333334</v>
      </c>
      <c r="H148" s="66" t="s">
        <v>668</v>
      </c>
      <c r="I148" s="348">
        <f>'G - General Pay Plan'!$H$1</f>
        <v>2019</v>
      </c>
    </row>
    <row r="149" spans="1:9" x14ac:dyDescent="0.2">
      <c r="A149" s="307" t="str">
        <f>'G - General Pay Plan'!C231</f>
        <v>HNG210</v>
      </c>
      <c r="B149" t="str">
        <f>'G - General Pay Plan'!D231</f>
        <v>HUMAN RESOURCES MANAGER</v>
      </c>
      <c r="C149" s="307" t="str">
        <f>'G - General Pay Plan'!A219</f>
        <v>G30</v>
      </c>
      <c r="D149" s="66" t="s">
        <v>386</v>
      </c>
      <c r="E149" s="403">
        <f>'G - General Pay Plan'!E219</f>
        <v>7741.52</v>
      </c>
      <c r="F149" s="403">
        <f>'G - General Pay Plan'!F219</f>
        <v>9211.350833333332</v>
      </c>
      <c r="G149" s="403">
        <f>'G - General Pay Plan'!G219</f>
        <v>10681.181666666665</v>
      </c>
      <c r="H149" s="66" t="s">
        <v>668</v>
      </c>
      <c r="I149" s="348">
        <f>'G - General Pay Plan'!$H$1</f>
        <v>2019</v>
      </c>
    </row>
    <row r="150" spans="1:9" s="3" customFormat="1" x14ac:dyDescent="0.2">
      <c r="A150" s="307" t="str">
        <f>'G - General Pay Plan'!C136</f>
        <v>HNG201</v>
      </c>
      <c r="B150" t="str">
        <f>('G - General Pay Plan'!D136)</f>
        <v>HUMAN RESOURCES PROGRAM ADMINISTRATOR</v>
      </c>
      <c r="C150" s="307" t="str">
        <f>'G - General Pay Plan'!A133</f>
        <v>G25</v>
      </c>
      <c r="D150" s="307" t="s">
        <v>386</v>
      </c>
      <c r="E150" s="403">
        <f>'G - General Pay Plan'!E133</f>
        <v>6042.8658333333333</v>
      </c>
      <c r="F150" s="403">
        <f>'G - General Pay Plan'!F133</f>
        <v>7189.045000000001</v>
      </c>
      <c r="G150" s="403">
        <f>'G - General Pay Plan'!G133</f>
        <v>8335.2241666666669</v>
      </c>
      <c r="H150" s="307" t="s">
        <v>668</v>
      </c>
      <c r="I150" s="348">
        <f>'G - General Pay Plan'!$H$1</f>
        <v>2019</v>
      </c>
    </row>
    <row r="151" spans="1:9" x14ac:dyDescent="0.2">
      <c r="A151" s="307" t="str">
        <f>'G - General Pay Plan'!C117</f>
        <v>DNG207</v>
      </c>
      <c r="B151" t="str">
        <f>('G - General Pay Plan'!D117)</f>
        <v>HUMAN SERVICES COORDINATOR</v>
      </c>
      <c r="C151" s="307" t="str">
        <f>'G - General Pay Plan'!A106</f>
        <v>G24</v>
      </c>
      <c r="D151" s="307" t="s">
        <v>386</v>
      </c>
      <c r="E151" s="403">
        <f>'G - General Pay Plan'!E106</f>
        <v>5748.7624999999998</v>
      </c>
      <c r="F151" s="403">
        <f>'G - General Pay Plan'!F106</f>
        <v>6840.65625</v>
      </c>
      <c r="G151" s="403">
        <f>'G - General Pay Plan'!G106</f>
        <v>7932.55</v>
      </c>
      <c r="H151" s="307" t="s">
        <v>668</v>
      </c>
      <c r="I151" s="348">
        <f>'G - General Pay Plan'!$H$1</f>
        <v>2019</v>
      </c>
    </row>
    <row r="152" spans="1:9" s="3" customFormat="1" x14ac:dyDescent="0.2">
      <c r="A152" s="307" t="str">
        <f>'G - General Pay Plan'!C174</f>
        <v>DNG208</v>
      </c>
      <c r="B152" t="str">
        <f>('G - General Pay Plan'!D174)</f>
        <v>HUMAN SERVICES MANAGER</v>
      </c>
      <c r="C152" s="307" t="str">
        <f>'G - General Pay Plan'!A169</f>
        <v>G27</v>
      </c>
      <c r="D152" s="307" t="s">
        <v>386</v>
      </c>
      <c r="E152" s="403">
        <f>'G - General Pay Plan'!E169</f>
        <v>6670.9283333333333</v>
      </c>
      <c r="F152" s="403">
        <f>'G - General Pay Plan'!F169</f>
        <v>7938.0475000000006</v>
      </c>
      <c r="G152" s="403">
        <f>'G - General Pay Plan'!G169</f>
        <v>9205.1666666666661</v>
      </c>
      <c r="H152" s="307" t="s">
        <v>668</v>
      </c>
      <c r="I152" s="348">
        <f>'G - General Pay Plan'!$H$1</f>
        <v>2019</v>
      </c>
    </row>
    <row r="153" spans="1:9" s="3" customFormat="1" x14ac:dyDescent="0.2">
      <c r="A153" s="307" t="str">
        <f>'G - General Pay Plan'!C274</f>
        <v>ING208</v>
      </c>
      <c r="B153" t="str">
        <f>('G - General Pay Plan'!D274)</f>
        <v>INFORMATION TECHNOLOGY MANAGER</v>
      </c>
      <c r="C153" s="307" t="str">
        <f>'G - General Pay Plan'!A271</f>
        <v>G33</v>
      </c>
      <c r="D153" s="307" t="s">
        <v>386</v>
      </c>
      <c r="E153" s="403">
        <f>'G - General Pay Plan'!E271</f>
        <v>8981.1525000000001</v>
      </c>
      <c r="F153" s="403">
        <f>'G - General Pay Plan'!F271</f>
        <v>10689.426666666666</v>
      </c>
      <c r="G153" s="403">
        <f>'G - General Pay Plan'!G271</f>
        <v>12397.700833333334</v>
      </c>
      <c r="H153" s="307" t="s">
        <v>668</v>
      </c>
      <c r="I153" s="348">
        <f>'G - General Pay Plan'!$H$1</f>
        <v>2019</v>
      </c>
    </row>
    <row r="154" spans="1:9" s="3" customFormat="1" x14ac:dyDescent="0.2">
      <c r="A154" s="307" t="str">
        <f>'G - General Pay Plan'!C254</f>
        <v>ING209</v>
      </c>
      <c r="B154" s="3" t="str">
        <f>('G - General Pay Plan'!D254)</f>
        <v>INFORMATION TECHNOLOGY SUPERVISOR</v>
      </c>
      <c r="C154" s="307" t="str">
        <f>'G - General Pay Plan'!A248</f>
        <v>G31</v>
      </c>
      <c r="D154" s="307" t="s">
        <v>386</v>
      </c>
      <c r="E154" s="403">
        <f>'G - General Pay Plan'!E248</f>
        <v>8134.5749999999998</v>
      </c>
      <c r="F154" s="403">
        <f>'G - General Pay Plan'!F248</f>
        <v>9679.9929166666661</v>
      </c>
      <c r="G154" s="403">
        <f>'G - General Pay Plan'!G248</f>
        <v>11225.410833333333</v>
      </c>
      <c r="H154" s="307" t="s">
        <v>668</v>
      </c>
      <c r="I154" s="348">
        <f>'G - General Pay Plan'!$H$1</f>
        <v>2019</v>
      </c>
    </row>
    <row r="155" spans="1:9" s="3" customFormat="1" x14ac:dyDescent="0.2">
      <c r="A155" s="307" t="str">
        <f>'G - General Pay Plan'!C232</f>
        <v>JNG204</v>
      </c>
      <c r="B155" t="str">
        <f>'G - General Pay Plan'!D232</f>
        <v>INSPECTION SERVICES MANAGER</v>
      </c>
      <c r="C155" s="307" t="str">
        <f>'G - General Pay Plan'!A219</f>
        <v>G30</v>
      </c>
      <c r="D155" s="307" t="s">
        <v>386</v>
      </c>
      <c r="E155" s="403">
        <f>'G - General Pay Plan'!E219</f>
        <v>7741.52</v>
      </c>
      <c r="F155" s="403">
        <f>'G - General Pay Plan'!F219</f>
        <v>9211.350833333332</v>
      </c>
      <c r="G155" s="403">
        <f>'G - General Pay Plan'!G219</f>
        <v>10681.181666666665</v>
      </c>
      <c r="H155" s="307" t="s">
        <v>668</v>
      </c>
      <c r="I155" s="348">
        <f>'G - General Pay Plan'!$H$1</f>
        <v>2019</v>
      </c>
    </row>
    <row r="156" spans="1:9" x14ac:dyDescent="0.2">
      <c r="A156" s="307" t="str">
        <f>'G - General Pay Plan'!C175</f>
        <v>JNG202</v>
      </c>
      <c r="B156" t="str">
        <f>('G - General Pay Plan'!D175)</f>
        <v>INSPECTION SUPERVISOR</v>
      </c>
      <c r="C156" s="307" t="str">
        <f>'G - General Pay Plan'!A169</f>
        <v>G27</v>
      </c>
      <c r="D156" s="307" t="s">
        <v>386</v>
      </c>
      <c r="E156" s="403">
        <f>'G - General Pay Plan'!E169</f>
        <v>6670.9283333333333</v>
      </c>
      <c r="F156" s="403">
        <f>'G - General Pay Plan'!F169</f>
        <v>7938.0475000000006</v>
      </c>
      <c r="G156" s="403">
        <f>'G - General Pay Plan'!G169</f>
        <v>9205.1666666666661</v>
      </c>
      <c r="H156" s="307" t="s">
        <v>668</v>
      </c>
      <c r="I156" s="348">
        <f>'G - General Pay Plan'!$H$1</f>
        <v>2019</v>
      </c>
    </row>
    <row r="157" spans="1:9" x14ac:dyDescent="0.2">
      <c r="A157" s="67" t="str">
        <f>'H- Bldg Insp, Examiners (rep)'!C3</f>
        <v>JRH302</v>
      </c>
      <c r="B157" t="str">
        <f>'H- Bldg Insp, Examiners (rep)'!D3</f>
        <v>INSPECTOR</v>
      </c>
      <c r="C157" s="67" t="str">
        <f>'H- Bldg Insp, Examiners (rep)'!A3</f>
        <v>H01</v>
      </c>
      <c r="D157" s="67">
        <v>3</v>
      </c>
      <c r="E157" s="68">
        <f>'H- Bldg Insp, Examiners (rep)'!E3</f>
        <v>6569.7115139796006</v>
      </c>
      <c r="F157" s="68">
        <f>'H- Bldg Insp, Examiners (rep)'!F3</f>
        <v>6905.2601266236006</v>
      </c>
      <c r="G157" s="68">
        <f>'H- Bldg Insp, Examiners (rep)'!G3</f>
        <v>7251.6183788916005</v>
      </c>
      <c r="H157" s="67" t="s">
        <v>669</v>
      </c>
      <c r="I157" s="347">
        <f>'H- Bldg Insp, Examiners (rep)'!$H$1</f>
        <v>2018</v>
      </c>
    </row>
    <row r="158" spans="1:9" x14ac:dyDescent="0.2">
      <c r="A158" s="307" t="str">
        <f>'G - General Pay Plan'!C253</f>
        <v>ENG224</v>
      </c>
      <c r="B158" t="str">
        <f>'G - General Pay Plan'!D253</f>
        <v>INTELLIGENT TRANSPORTATION SYSTEMS MGR</v>
      </c>
      <c r="C158" s="307" t="str">
        <f>'G - General Pay Plan'!A248</f>
        <v>G31</v>
      </c>
      <c r="D158" s="41" t="s">
        <v>386</v>
      </c>
      <c r="E158" s="403">
        <f>'G - General Pay Plan'!E248</f>
        <v>8134.5749999999998</v>
      </c>
      <c r="F158" s="403">
        <f>'G - General Pay Plan'!F248</f>
        <v>9679.9929166666661</v>
      </c>
      <c r="G158" s="403">
        <f>'G - General Pay Plan'!G248</f>
        <v>11225.410833333333</v>
      </c>
      <c r="H158" s="41" t="s">
        <v>668</v>
      </c>
      <c r="I158" s="348">
        <f>'G - General Pay Plan'!H1</f>
        <v>2019</v>
      </c>
    </row>
    <row r="159" spans="1:9" x14ac:dyDescent="0.2">
      <c r="A159" s="156" t="str">
        <f>'B- Parks,Util,CS, Trans (rep)'!B32</f>
        <v>MRB802</v>
      </c>
      <c r="B159" s="4" t="str">
        <f>'B- Parks,Util,CS, Trans (rep)'!C32</f>
        <v>INVENTORY SPECIALIST 1</v>
      </c>
      <c r="C159" s="156" t="str">
        <f>'B- Parks,Util,CS, Trans (rep)'!A31</f>
        <v>B35</v>
      </c>
      <c r="D159" s="156">
        <v>6</v>
      </c>
      <c r="E159" s="405">
        <f>'B- Parks,Util,CS, Trans (rep)'!D31</f>
        <v>4503.2396210619991</v>
      </c>
      <c r="F159" s="405">
        <f>(E159+G159)/2</f>
        <v>5081.7629583629996</v>
      </c>
      <c r="G159" s="405">
        <f>'B- Parks,Util,CS, Trans (rep)'!I31</f>
        <v>5660.2862956640001</v>
      </c>
      <c r="H159" s="156" t="s">
        <v>669</v>
      </c>
      <c r="I159" s="347">
        <f>'B- Parks,Util,CS, Trans (rep)'!$K$1</f>
        <v>2018</v>
      </c>
    </row>
    <row r="160" spans="1:9" x14ac:dyDescent="0.2">
      <c r="A160" s="156" t="str">
        <f>'B- Parks,Util,CS, Trans (rep)'!B39</f>
        <v>MRB803</v>
      </c>
      <c r="B160" s="4" t="str">
        <f>'B- Parks,Util,CS, Trans (rep)'!C39</f>
        <v>INVENTORY SPECIALIST 2</v>
      </c>
      <c r="C160" s="156" t="str">
        <f>'B- Parks,Util,CS, Trans (rep)'!A39</f>
        <v>B38</v>
      </c>
      <c r="D160" s="156">
        <v>6</v>
      </c>
      <c r="E160" s="405">
        <f>'B- Parks,Util,CS, Trans (rep)'!D39</f>
        <v>4971.7846268219992</v>
      </c>
      <c r="F160" s="405">
        <f>(E160+G160)/2</f>
        <v>5610.1777199129992</v>
      </c>
      <c r="G160" s="405">
        <f>'B- Parks,Util,CS, Trans (rep)'!I39</f>
        <v>6248.5708130039993</v>
      </c>
      <c r="H160" s="156" t="s">
        <v>669</v>
      </c>
      <c r="I160" s="347">
        <f>'B- Parks,Util,CS, Trans (rep)'!$K$1</f>
        <v>2018</v>
      </c>
    </row>
    <row r="161" spans="1:9" x14ac:dyDescent="0.2">
      <c r="A161" s="156" t="str">
        <f>'G - General Pay Plan'!C118</f>
        <v>ING223</v>
      </c>
      <c r="B161" t="str">
        <f>('G - General Pay Plan'!D118)</f>
        <v>IT APPLICATION DEVELOPER 1</v>
      </c>
      <c r="C161" s="156" t="str">
        <f>'G - General Pay Plan'!A106</f>
        <v>G24</v>
      </c>
      <c r="D161" s="156" t="s">
        <v>386</v>
      </c>
      <c r="E161" s="404">
        <f>'G - General Pay Plan'!E106</f>
        <v>5748.7624999999998</v>
      </c>
      <c r="F161" s="404">
        <f>'G - General Pay Plan'!F106</f>
        <v>6840.65625</v>
      </c>
      <c r="G161" s="404">
        <f>'G - General Pay Plan'!G106</f>
        <v>7932.55</v>
      </c>
      <c r="H161" s="156" t="s">
        <v>668</v>
      </c>
      <c r="I161" s="348">
        <f>'G - General Pay Plan'!$H$1</f>
        <v>2019</v>
      </c>
    </row>
    <row r="162" spans="1:9" x14ac:dyDescent="0.2">
      <c r="A162" s="307" t="str">
        <f>'G - General Pay Plan'!C176</f>
        <v>ING222</v>
      </c>
      <c r="B162" t="str">
        <f>('G - General Pay Plan'!D176)</f>
        <v>IT APPLICATION DEVELOPER 2</v>
      </c>
      <c r="C162" s="307" t="str">
        <f>'G - General Pay Plan'!A169</f>
        <v>G27</v>
      </c>
      <c r="D162" s="307" t="s">
        <v>386</v>
      </c>
      <c r="E162" s="403">
        <f>'G - General Pay Plan'!E169</f>
        <v>6670.9283333333333</v>
      </c>
      <c r="F162" s="403">
        <f>'G - General Pay Plan'!F169</f>
        <v>7938.0475000000006</v>
      </c>
      <c r="G162" s="403">
        <f>'G - General Pay Plan'!G169</f>
        <v>9205.1666666666661</v>
      </c>
      <c r="H162" s="307" t="s">
        <v>668</v>
      </c>
      <c r="I162" s="348">
        <f>'G - General Pay Plan'!$H$1</f>
        <v>2019</v>
      </c>
    </row>
    <row r="163" spans="1:9" x14ac:dyDescent="0.2">
      <c r="A163" s="307" t="str">
        <f>'G - General Pay Plan'!C233</f>
        <v>ING221</v>
      </c>
      <c r="B163" t="str">
        <f>('G - General Pay Plan'!D233)</f>
        <v>IT APPLICATION DEVELOPER 3</v>
      </c>
      <c r="C163" s="307" t="str">
        <f>'G - General Pay Plan'!A219</f>
        <v>G30</v>
      </c>
      <c r="D163" s="307" t="s">
        <v>386</v>
      </c>
      <c r="E163" s="403">
        <f>'G - General Pay Plan'!E219</f>
        <v>7741.52</v>
      </c>
      <c r="F163" s="403">
        <f>'G - General Pay Plan'!F219</f>
        <v>9211.350833333332</v>
      </c>
      <c r="G163" s="403">
        <f>'G - General Pay Plan'!G219</f>
        <v>10681.181666666665</v>
      </c>
      <c r="H163" s="307" t="s">
        <v>668</v>
      </c>
      <c r="I163" s="348">
        <f>'G - General Pay Plan'!$H$1</f>
        <v>2019</v>
      </c>
    </row>
    <row r="164" spans="1:9" x14ac:dyDescent="0.2">
      <c r="A164" s="307" t="str">
        <f>'G - General Pay Plan'!C255</f>
        <v>ING220</v>
      </c>
      <c r="B164" s="3" t="str">
        <f>('G - General Pay Plan'!D255)</f>
        <v>IT APPLICATION DEVELOPER 4A</v>
      </c>
      <c r="C164" s="307" t="str">
        <f>'G - General Pay Plan'!A248</f>
        <v>G31</v>
      </c>
      <c r="D164" s="307" t="s">
        <v>386</v>
      </c>
      <c r="E164" s="403">
        <f>'G - General Pay Plan'!E248</f>
        <v>8134.5749999999998</v>
      </c>
      <c r="F164" s="403">
        <f>'G - General Pay Plan'!F248</f>
        <v>9679.9929166666661</v>
      </c>
      <c r="G164" s="403">
        <f>'G - General Pay Plan'!G248</f>
        <v>11225.410833333333</v>
      </c>
      <c r="H164" s="307" t="s">
        <v>668</v>
      </c>
      <c r="I164" s="348">
        <f>'G - General Pay Plan'!$H$1</f>
        <v>2019</v>
      </c>
    </row>
    <row r="165" spans="1:9" x14ac:dyDescent="0.2">
      <c r="A165" s="307" t="str">
        <f>'G - General Pay Plan'!C275</f>
        <v>ING219</v>
      </c>
      <c r="B165" t="str">
        <f>('G - General Pay Plan'!D275)</f>
        <v>IT APPLICATION DEVELOPER 4B</v>
      </c>
      <c r="C165" s="307" t="str">
        <f>'G - General Pay Plan'!A271</f>
        <v>G33</v>
      </c>
      <c r="D165" s="307" t="s">
        <v>386</v>
      </c>
      <c r="E165" s="403">
        <f>'G - General Pay Plan'!E271</f>
        <v>8981.1525000000001</v>
      </c>
      <c r="F165" s="403">
        <f>'G - General Pay Plan'!F271</f>
        <v>10689.426666666666</v>
      </c>
      <c r="G165" s="403">
        <f>'G - General Pay Plan'!G271</f>
        <v>12397.700833333334</v>
      </c>
      <c r="H165" s="307" t="s">
        <v>668</v>
      </c>
      <c r="I165" s="348">
        <f>'G - General Pay Plan'!$H$1</f>
        <v>2019</v>
      </c>
    </row>
    <row r="166" spans="1:9" x14ac:dyDescent="0.2">
      <c r="A166" s="307" t="str">
        <f>'G - General Pay Plan'!C33</f>
        <v>ING507</v>
      </c>
      <c r="B166" t="str">
        <f>('G - General Pay Plan'!D33)</f>
        <v>IT CONTENT DEV/MULTIMEDIA 1</v>
      </c>
      <c r="C166" s="307" t="str">
        <f>'G - General Pay Plan'!A31</f>
        <v>G16</v>
      </c>
      <c r="D166" s="307" t="s">
        <v>386</v>
      </c>
      <c r="E166" s="403">
        <f>'G - General Pay Plan'!E31</f>
        <v>3864.5750000000003</v>
      </c>
      <c r="F166" s="403">
        <f>(E166+G166)/2</f>
        <v>4599.8345833333333</v>
      </c>
      <c r="G166" s="403">
        <f>'G - General Pay Plan'!G31</f>
        <v>5335.0941666666668</v>
      </c>
      <c r="H166" s="307" t="s">
        <v>669</v>
      </c>
      <c r="I166" s="348">
        <f>'G - General Pay Plan'!$H$1</f>
        <v>2019</v>
      </c>
    </row>
    <row r="167" spans="1:9" x14ac:dyDescent="0.2">
      <c r="A167" s="307" t="str">
        <f>'G - General Pay Plan'!C57</f>
        <v>ING251</v>
      </c>
      <c r="B167" t="str">
        <f>('G - General Pay Plan'!D57)</f>
        <v>IT CONTENT DEV/MULTIMEDIA 2</v>
      </c>
      <c r="C167" s="307" t="str">
        <f>'G - General Pay Plan'!A57</f>
        <v>G20</v>
      </c>
      <c r="D167" s="307" t="s">
        <v>386</v>
      </c>
      <c r="E167" s="403">
        <f>'G - General Pay Plan'!E57</f>
        <v>4712.5283333333327</v>
      </c>
      <c r="F167" s="403">
        <f>'G - General Pay Plan'!F57</f>
        <v>5608.5824999999995</v>
      </c>
      <c r="G167" s="403">
        <f>'G - General Pay Plan'!G57</f>
        <v>6504.6366666666663</v>
      </c>
      <c r="H167" s="307" t="s">
        <v>668</v>
      </c>
      <c r="I167" s="348">
        <f>'G - General Pay Plan'!$H$1</f>
        <v>2019</v>
      </c>
    </row>
    <row r="168" spans="1:9" x14ac:dyDescent="0.2">
      <c r="A168" s="307" t="str">
        <f>'G - General Pay Plan'!C119</f>
        <v>ING250</v>
      </c>
      <c r="B168" t="str">
        <f>('G - General Pay Plan'!D119)</f>
        <v>IT CONTENT DEV/MULTIMEDIA 3</v>
      </c>
      <c r="C168" s="307" t="str">
        <f>'G - General Pay Plan'!A106</f>
        <v>G24</v>
      </c>
      <c r="D168" s="307" t="s">
        <v>386</v>
      </c>
      <c r="E168" s="403">
        <f>'G - General Pay Plan'!E106</f>
        <v>5748.7624999999998</v>
      </c>
      <c r="F168" s="403">
        <f>'G - General Pay Plan'!F106</f>
        <v>6840.65625</v>
      </c>
      <c r="G168" s="403">
        <f>'G - General Pay Plan'!G106</f>
        <v>7932.55</v>
      </c>
      <c r="H168" s="307" t="s">
        <v>668</v>
      </c>
      <c r="I168" s="348">
        <f>'G - General Pay Plan'!$H$1</f>
        <v>2019</v>
      </c>
    </row>
    <row r="169" spans="1:9" x14ac:dyDescent="0.2">
      <c r="A169" s="307" t="str">
        <f>'G - General Pay Plan'!C177</f>
        <v>ING249</v>
      </c>
      <c r="B169" t="str">
        <f>('G - General Pay Plan'!D177)</f>
        <v>IT CONTENT DEV/MULTIMEDIA 4A</v>
      </c>
      <c r="C169" s="307" t="str">
        <f>'G - General Pay Plan'!A169</f>
        <v>G27</v>
      </c>
      <c r="D169" s="307" t="s">
        <v>386</v>
      </c>
      <c r="E169" s="403">
        <f>'G - General Pay Plan'!E169</f>
        <v>6670.9283333333333</v>
      </c>
      <c r="F169" s="403">
        <f>'G - General Pay Plan'!F169</f>
        <v>7938.0475000000006</v>
      </c>
      <c r="G169" s="403">
        <f>'G - General Pay Plan'!G169</f>
        <v>9205.1666666666661</v>
      </c>
      <c r="H169" s="307" t="s">
        <v>668</v>
      </c>
      <c r="I169" s="348">
        <f>'G - General Pay Plan'!$H$1</f>
        <v>2019</v>
      </c>
    </row>
    <row r="170" spans="1:9" x14ac:dyDescent="0.2">
      <c r="A170" s="307" t="str">
        <f>'G - General Pay Plan'!C120</f>
        <v>ING235</v>
      </c>
      <c r="B170" t="str">
        <f>('G - General Pay Plan'!D120)</f>
        <v>IT DATABASE ADMINSTRATOR 1</v>
      </c>
      <c r="C170" s="307" t="str">
        <f>'G - General Pay Plan'!A106</f>
        <v>G24</v>
      </c>
      <c r="D170" s="307" t="s">
        <v>386</v>
      </c>
      <c r="E170" s="403">
        <f>'G - General Pay Plan'!E106</f>
        <v>5748.7624999999998</v>
      </c>
      <c r="F170" s="403">
        <f>'G - General Pay Plan'!F106</f>
        <v>6840.65625</v>
      </c>
      <c r="G170" s="403">
        <f>'G - General Pay Plan'!G106</f>
        <v>7932.55</v>
      </c>
      <c r="H170" s="307" t="s">
        <v>668</v>
      </c>
      <c r="I170" s="348">
        <f>'G - General Pay Plan'!$H$1</f>
        <v>2019</v>
      </c>
    </row>
    <row r="171" spans="1:9" x14ac:dyDescent="0.2">
      <c r="A171" s="307" t="str">
        <f>'G - General Pay Plan'!C207</f>
        <v>ING234</v>
      </c>
      <c r="B171" t="str">
        <f>('G - General Pay Plan'!D207)</f>
        <v>IT DATABASE ADMINSTRATOR 2</v>
      </c>
      <c r="C171" s="307" t="str">
        <f>'G - General Pay Plan'!A207</f>
        <v>G29</v>
      </c>
      <c r="D171" s="307" t="s">
        <v>386</v>
      </c>
      <c r="E171" s="403">
        <f>'G - General Pay Plan'!E207</f>
        <v>7364.956666666666</v>
      </c>
      <c r="F171" s="403">
        <f>'G - General Pay Plan'!F207</f>
        <v>8765.3845833333326</v>
      </c>
      <c r="G171" s="403">
        <f>'G - General Pay Plan'!G207</f>
        <v>10165.8125</v>
      </c>
      <c r="H171" s="307" t="s">
        <v>668</v>
      </c>
      <c r="I171" s="348">
        <f>'G - General Pay Plan'!$H$1</f>
        <v>2019</v>
      </c>
    </row>
    <row r="172" spans="1:9" x14ac:dyDescent="0.2">
      <c r="A172" s="307" t="str">
        <f>'G - General Pay Plan'!C264</f>
        <v>ING233</v>
      </c>
      <c r="B172" t="str">
        <f>('G - General Pay Plan'!D264)</f>
        <v>IT DATABASE ADMINSTRATOR 3</v>
      </c>
      <c r="C172" s="307" t="str">
        <f>'G - General Pay Plan'!A262</f>
        <v>G32</v>
      </c>
      <c r="D172" s="307" t="s">
        <v>386</v>
      </c>
      <c r="E172" s="403">
        <f>'G - General Pay Plan'!E262</f>
        <v>8548.2433333333338</v>
      </c>
      <c r="F172" s="403">
        <f>'G - General Pay Plan'!F262</f>
        <v>10171.997083333334</v>
      </c>
      <c r="G172" s="403">
        <f>'G - General Pay Plan'!G262</f>
        <v>11795.750833333334</v>
      </c>
      <c r="H172" s="307" t="s">
        <v>668</v>
      </c>
      <c r="I172" s="348">
        <f>'G - General Pay Plan'!$H$1</f>
        <v>2019</v>
      </c>
    </row>
    <row r="173" spans="1:9" x14ac:dyDescent="0.2">
      <c r="A173" s="307" t="str">
        <f>'G - General Pay Plan'!C58</f>
        <v>ING305</v>
      </c>
      <c r="B173" t="str">
        <f>'G - General Pay Plan'!D58</f>
        <v>IT END USER SUPPORT 1</v>
      </c>
      <c r="C173" s="307" t="str">
        <f>'G - General Pay Plan'!A57</f>
        <v>G20</v>
      </c>
      <c r="D173" s="307" t="s">
        <v>386</v>
      </c>
      <c r="E173" s="403">
        <f>'G - General Pay Plan'!E57</f>
        <v>4712.5283333333327</v>
      </c>
      <c r="F173" s="403">
        <f>'G - General Pay Plan'!F57</f>
        <v>5608.5824999999995</v>
      </c>
      <c r="G173" s="403">
        <f>'G - General Pay Plan'!G57</f>
        <v>6504.6366666666663</v>
      </c>
      <c r="H173" s="307" t="s">
        <v>669</v>
      </c>
      <c r="I173" s="348">
        <f>'G - General Pay Plan'!$H$1</f>
        <v>2019</v>
      </c>
    </row>
    <row r="174" spans="1:9" x14ac:dyDescent="0.2">
      <c r="A174" s="307" t="str">
        <f>'G - General Pay Plan'!C92</f>
        <v>ING304</v>
      </c>
      <c r="B174" t="str">
        <f>'G - General Pay Plan'!D92</f>
        <v>IT END USER SUPPORT 2</v>
      </c>
      <c r="C174" s="307" t="str">
        <f>'G - General Pay Plan'!A86</f>
        <v>G23</v>
      </c>
      <c r="D174" s="307" t="s">
        <v>386</v>
      </c>
      <c r="E174" s="403">
        <f>'G - General Pay Plan'!E86</f>
        <v>5469.7758333333331</v>
      </c>
      <c r="F174" s="403">
        <f>'G - General Pay Plan'!F86</f>
        <v>6508.7583333333341</v>
      </c>
      <c r="G174" s="403">
        <f>'G - General Pay Plan'!G86</f>
        <v>7547.7408333333333</v>
      </c>
      <c r="H174" s="307" t="s">
        <v>669</v>
      </c>
      <c r="I174" s="348">
        <f>'G - General Pay Plan'!$H$1</f>
        <v>2019</v>
      </c>
    </row>
    <row r="175" spans="1:9" x14ac:dyDescent="0.2">
      <c r="A175" s="307" t="str">
        <f>'G - General Pay Plan'!C137</f>
        <v>ING237</v>
      </c>
      <c r="B175" t="str">
        <f>'G - General Pay Plan'!D137</f>
        <v>IT END USER SUPPORT 3</v>
      </c>
      <c r="C175" s="307" t="str">
        <f>'G - General Pay Plan'!A133</f>
        <v>G25</v>
      </c>
      <c r="D175" s="307" t="s">
        <v>386</v>
      </c>
      <c r="E175" s="403">
        <f>'G - General Pay Plan'!E133</f>
        <v>6042.8658333333333</v>
      </c>
      <c r="F175" s="403">
        <f>'G - General Pay Plan'!F133</f>
        <v>7189.045000000001</v>
      </c>
      <c r="G175" s="403">
        <f>'G - General Pay Plan'!G133</f>
        <v>8335.2241666666669</v>
      </c>
      <c r="H175" s="307" t="s">
        <v>668</v>
      </c>
      <c r="I175" s="348">
        <f>'G - General Pay Plan'!$H$1</f>
        <v>2019</v>
      </c>
    </row>
    <row r="176" spans="1:9" x14ac:dyDescent="0.2">
      <c r="A176" s="307" t="str">
        <f>'G - General Pay Plan'!C196</f>
        <v>ING236</v>
      </c>
      <c r="B176" t="str">
        <f>'G - General Pay Plan'!D196</f>
        <v>IT END USER SUPPORT 4A</v>
      </c>
      <c r="C176" s="307" t="str">
        <f>'G - General Pay Plan'!A192</f>
        <v>G28</v>
      </c>
      <c r="D176" s="307" t="s">
        <v>386</v>
      </c>
      <c r="E176" s="403">
        <f>'G - General Pay Plan'!E192</f>
        <v>7010.3841666666667</v>
      </c>
      <c r="F176" s="403">
        <f>'G - General Pay Plan'!F192</f>
        <v>8341.4087500000005</v>
      </c>
      <c r="G176" s="403">
        <f>'G - General Pay Plan'!G192</f>
        <v>9672.4333333333325</v>
      </c>
      <c r="H176" s="307" t="s">
        <v>668</v>
      </c>
      <c r="I176" s="348">
        <f>'G - General Pay Plan'!$H$1</f>
        <v>2019</v>
      </c>
    </row>
    <row r="177" spans="1:9" x14ac:dyDescent="0.2">
      <c r="A177" s="307" t="str">
        <f>'G - General Pay Plan'!C52</f>
        <v>ING506</v>
      </c>
      <c r="B177" t="str">
        <f>'G - General Pay Plan'!D52</f>
        <v>IT GEOGRAPHIC INFORMATION SYSTEMS 1</v>
      </c>
      <c r="C177" s="307" t="str">
        <f>'G - General Pay Plan'!A48</f>
        <v>G19</v>
      </c>
      <c r="D177" s="307" t="s">
        <v>386</v>
      </c>
      <c r="E177" s="403">
        <f>'G - General Pay Plan'!E48</f>
        <v>4485.7666666666664</v>
      </c>
      <c r="F177" s="403">
        <f>(E177+G177)/2</f>
        <v>5337.1550000000007</v>
      </c>
      <c r="G177" s="403">
        <f>'G - General Pay Plan'!G48</f>
        <v>6188.543333333334</v>
      </c>
      <c r="H177" s="307" t="s">
        <v>669</v>
      </c>
      <c r="I177" s="348">
        <f>'G - General Pay Plan'!$H$1</f>
        <v>2019</v>
      </c>
    </row>
    <row r="178" spans="1:9" x14ac:dyDescent="0.2">
      <c r="A178" s="307" t="str">
        <f>'G - General Pay Plan'!C80</f>
        <v>ING248</v>
      </c>
      <c r="B178" t="str">
        <f>'G - General Pay Plan'!D80</f>
        <v>IT GEOGRAPHIC INFORMATION SYSTEMS 2</v>
      </c>
      <c r="C178" s="307" t="str">
        <f>'G - General Pay Plan'!A73</f>
        <v>G22</v>
      </c>
      <c r="D178" s="307" t="s">
        <v>386</v>
      </c>
      <c r="E178" s="403">
        <f>'G - General Pay Plan'!E73</f>
        <v>5205.9083333333338</v>
      </c>
      <c r="F178" s="403">
        <f>'G - General Pay Plan'!F73</f>
        <v>6195.4154166666667</v>
      </c>
      <c r="G178" s="403">
        <f>'G - General Pay Plan'!G73</f>
        <v>7184.9225000000006</v>
      </c>
      <c r="H178" s="307" t="s">
        <v>669</v>
      </c>
      <c r="I178" s="348">
        <f>'G - General Pay Plan'!$H$1</f>
        <v>2019</v>
      </c>
    </row>
    <row r="179" spans="1:9" x14ac:dyDescent="0.2">
      <c r="A179" s="307" t="str">
        <f>'G - General Pay Plan'!C159</f>
        <v>ING247</v>
      </c>
      <c r="B179" t="str">
        <f>'G - General Pay Plan'!D159</f>
        <v>IT GEOGRAPHIC INFORMATION SYSTEMS 3</v>
      </c>
      <c r="C179" s="307" t="str">
        <f>'G - General Pay Plan'!A146</f>
        <v>G26</v>
      </c>
      <c r="D179" s="307" t="s">
        <v>386</v>
      </c>
      <c r="E179" s="403">
        <f>'G - General Pay Plan'!E146</f>
        <v>6347.9633333333331</v>
      </c>
      <c r="F179" s="403">
        <f>'G - General Pay Plan'!F146</f>
        <v>7553.2383333333337</v>
      </c>
      <c r="G179" s="403">
        <f>'G - General Pay Plan'!G146</f>
        <v>8758.5133333333342</v>
      </c>
      <c r="H179" s="307" t="s">
        <v>668</v>
      </c>
      <c r="I179" s="348">
        <f>'G - General Pay Plan'!$H$1</f>
        <v>2019</v>
      </c>
    </row>
    <row r="180" spans="1:9" x14ac:dyDescent="0.2">
      <c r="A180" s="307" t="str">
        <f>'G - General Pay Plan'!C197</f>
        <v>ING246</v>
      </c>
      <c r="B180" t="str">
        <f>'G - General Pay Plan'!D197</f>
        <v>IT GEOGRAPHIC INFORMATION SYSTEMS 4A</v>
      </c>
      <c r="C180" s="307" t="str">
        <f>'G - General Pay Plan'!A192</f>
        <v>G28</v>
      </c>
      <c r="D180" s="307" t="s">
        <v>386</v>
      </c>
      <c r="E180" s="403">
        <f>'G - General Pay Plan'!E192</f>
        <v>7010.3841666666667</v>
      </c>
      <c r="F180" s="403">
        <f>'G - General Pay Plan'!F192</f>
        <v>8341.4087500000005</v>
      </c>
      <c r="G180" s="403">
        <f>'G - General Pay Plan'!G192</f>
        <v>9672.4333333333325</v>
      </c>
      <c r="H180" s="307" t="s">
        <v>668</v>
      </c>
      <c r="I180" s="348">
        <f>'G - General Pay Plan'!$H$1</f>
        <v>2019</v>
      </c>
    </row>
    <row r="181" spans="1:9" x14ac:dyDescent="0.2">
      <c r="A181" s="307" t="str">
        <f>'G - General Pay Plan'!C43</f>
        <v>ING303</v>
      </c>
      <c r="B181" t="str">
        <f>'G - General Pay Plan'!D43</f>
        <v>IT NETWORK/SYSTEM ADMINISTRATOR 1</v>
      </c>
      <c r="C181" s="307" t="str">
        <f>'G - General Pay Plan'!A43</f>
        <v>G18</v>
      </c>
      <c r="D181" s="307" t="s">
        <v>386</v>
      </c>
      <c r="E181" s="403">
        <f>'G - General Pay Plan'!E43</f>
        <v>4267.25</v>
      </c>
      <c r="F181" s="403">
        <f>(E181+G181)/2</f>
        <v>5078.0962500000005</v>
      </c>
      <c r="G181" s="403">
        <f>'G - General Pay Plan'!G43</f>
        <v>5888.9425000000001</v>
      </c>
      <c r="H181" s="307" t="s">
        <v>669</v>
      </c>
      <c r="I181" s="348">
        <f>'G - General Pay Plan'!$H$1</f>
        <v>2019</v>
      </c>
    </row>
    <row r="182" spans="1:9" x14ac:dyDescent="0.2">
      <c r="A182" s="307" t="str">
        <f>'G - General Pay Plan'!C93</f>
        <v>ING232</v>
      </c>
      <c r="B182" t="str">
        <f>'G - General Pay Plan'!D93</f>
        <v>IT NETWORK/SYSTEM ADMINISTRATOR 2</v>
      </c>
      <c r="C182" s="307" t="str">
        <f>'G - General Pay Plan'!A86</f>
        <v>G23</v>
      </c>
      <c r="D182" s="307" t="s">
        <v>386</v>
      </c>
      <c r="E182" s="403">
        <f>'G - General Pay Plan'!E86</f>
        <v>5469.7758333333331</v>
      </c>
      <c r="F182" s="403">
        <f>'G - General Pay Plan'!F86</f>
        <v>6508.7583333333341</v>
      </c>
      <c r="G182" s="403">
        <f>'G - General Pay Plan'!G86</f>
        <v>7547.7408333333333</v>
      </c>
      <c r="H182" s="307" t="s">
        <v>668</v>
      </c>
      <c r="I182" s="348">
        <f>'G - General Pay Plan'!$H$1</f>
        <v>2019</v>
      </c>
    </row>
    <row r="183" spans="1:9" x14ac:dyDescent="0.2">
      <c r="A183" s="307" t="str">
        <f>'G - General Pay Plan'!C198</f>
        <v>ING231</v>
      </c>
      <c r="B183" t="str">
        <f>'G - General Pay Plan'!D198</f>
        <v>IT NETWORK/SYSTEM ADMINISTRATOR 3</v>
      </c>
      <c r="C183" s="307" t="str">
        <f>'G - General Pay Plan'!A192</f>
        <v>G28</v>
      </c>
      <c r="D183" s="307" t="s">
        <v>386</v>
      </c>
      <c r="E183" s="403">
        <f>'G - General Pay Plan'!E192</f>
        <v>7010.3841666666667</v>
      </c>
      <c r="F183" s="403">
        <f>'G - General Pay Plan'!F192</f>
        <v>8341.4087500000005</v>
      </c>
      <c r="G183" s="403">
        <f>'G - General Pay Plan'!G192</f>
        <v>9672.4333333333325</v>
      </c>
      <c r="H183" s="307" t="s">
        <v>668</v>
      </c>
      <c r="I183" s="348">
        <f>'G - General Pay Plan'!$H$1</f>
        <v>2019</v>
      </c>
    </row>
    <row r="184" spans="1:9" x14ac:dyDescent="0.2">
      <c r="A184" s="307" t="str">
        <f>'G - General Pay Plan'!C256</f>
        <v>ING230</v>
      </c>
      <c r="B184" s="3" t="str">
        <f>'G - General Pay Plan'!D256</f>
        <v>IT NETWORK/SYSTEM ADMINISTRATOR 4A</v>
      </c>
      <c r="C184" s="307" t="str">
        <f>'G - General Pay Plan'!A248</f>
        <v>G31</v>
      </c>
      <c r="D184" s="307" t="s">
        <v>386</v>
      </c>
      <c r="E184" s="403">
        <f>'G - General Pay Plan'!E248</f>
        <v>8134.5749999999998</v>
      </c>
      <c r="F184" s="403">
        <f>'G - General Pay Plan'!F248</f>
        <v>9679.9929166666661</v>
      </c>
      <c r="G184" s="403">
        <f>'G - General Pay Plan'!G248</f>
        <v>11225.410833333333</v>
      </c>
      <c r="H184" s="307" t="s">
        <v>668</v>
      </c>
      <c r="I184" s="348">
        <f>'G - General Pay Plan'!$H$1</f>
        <v>2019</v>
      </c>
    </row>
    <row r="185" spans="1:9" x14ac:dyDescent="0.2">
      <c r="A185" s="307" t="str">
        <f>'G - General Pay Plan'!C265</f>
        <v>ING229</v>
      </c>
      <c r="B185" t="str">
        <f>'G - General Pay Plan'!D265</f>
        <v>IT NETWORK/SYSTEM ADMINISTRATOR 4B</v>
      </c>
      <c r="C185" s="307" t="str">
        <f>'G - General Pay Plan'!A262</f>
        <v>G32</v>
      </c>
      <c r="D185" s="307" t="s">
        <v>386</v>
      </c>
      <c r="E185" s="403">
        <f>'G - General Pay Plan'!E262</f>
        <v>8548.2433333333338</v>
      </c>
      <c r="F185" s="403">
        <f>'G - General Pay Plan'!F262</f>
        <v>10171.997083333334</v>
      </c>
      <c r="G185" s="403">
        <f>'G - General Pay Plan'!G262</f>
        <v>11795.750833333334</v>
      </c>
      <c r="H185" s="307" t="s">
        <v>668</v>
      </c>
      <c r="I185" s="348">
        <f>'G - General Pay Plan'!$H$1</f>
        <v>2019</v>
      </c>
    </row>
    <row r="186" spans="1:9" x14ac:dyDescent="0.2">
      <c r="A186" s="307" t="str">
        <f>'G - General Pay Plan'!C81</f>
        <v>ING245</v>
      </c>
      <c r="B186" t="str">
        <f>'G - General Pay Plan'!D81</f>
        <v>IT PROJECT MANAGER 1</v>
      </c>
      <c r="C186" s="307" t="str">
        <f>'G - General Pay Plan'!A73</f>
        <v>G22</v>
      </c>
      <c r="D186" s="307" t="s">
        <v>386</v>
      </c>
      <c r="E186" s="403">
        <f>'G - General Pay Plan'!E73</f>
        <v>5205.9083333333338</v>
      </c>
      <c r="F186" s="403">
        <f>'G - General Pay Plan'!F73</f>
        <v>6195.4154166666667</v>
      </c>
      <c r="G186" s="403">
        <f>'G - General Pay Plan'!G73</f>
        <v>7184.9225000000006</v>
      </c>
      <c r="H186" s="307" t="s">
        <v>668</v>
      </c>
      <c r="I186" s="348">
        <f>'G - General Pay Plan'!$H$1</f>
        <v>2019</v>
      </c>
    </row>
    <row r="187" spans="1:9" x14ac:dyDescent="0.2">
      <c r="A187" s="307" t="str">
        <f>'G - General Pay Plan'!C121</f>
        <v>ING244</v>
      </c>
      <c r="B187" t="str">
        <f>'G - General Pay Plan'!D121</f>
        <v>IT PROJECT MANAGER 2</v>
      </c>
      <c r="C187" s="307" t="str">
        <f>'G - General Pay Plan'!A106</f>
        <v>G24</v>
      </c>
      <c r="D187" s="307" t="s">
        <v>386</v>
      </c>
      <c r="E187" s="403">
        <f>'G - General Pay Plan'!E106</f>
        <v>5748.7624999999998</v>
      </c>
      <c r="F187" s="403">
        <f>'G - General Pay Plan'!F106</f>
        <v>6840.65625</v>
      </c>
      <c r="G187" s="403">
        <f>'G - General Pay Plan'!G106</f>
        <v>7932.55</v>
      </c>
      <c r="H187" s="307" t="s">
        <v>668</v>
      </c>
      <c r="I187" s="348">
        <f>'G - General Pay Plan'!$H$1</f>
        <v>2019</v>
      </c>
    </row>
    <row r="188" spans="1:9" x14ac:dyDescent="0.2">
      <c r="A188" s="307" t="str">
        <f>'G - General Pay Plan'!C208</f>
        <v>ING243</v>
      </c>
      <c r="B188" t="str">
        <f>'G - General Pay Plan'!D208</f>
        <v>IT PROJECT MANAGER 3</v>
      </c>
      <c r="C188" s="307" t="str">
        <f>'G - General Pay Plan'!A207</f>
        <v>G29</v>
      </c>
      <c r="D188" s="307" t="s">
        <v>386</v>
      </c>
      <c r="E188" s="403">
        <f>'G - General Pay Plan'!E207</f>
        <v>7364.956666666666</v>
      </c>
      <c r="F188" s="403">
        <f>'G - General Pay Plan'!F207</f>
        <v>8765.3845833333326</v>
      </c>
      <c r="G188" s="403">
        <f>'G - General Pay Plan'!G207</f>
        <v>10165.8125</v>
      </c>
      <c r="H188" s="307" t="s">
        <v>668</v>
      </c>
      <c r="I188" s="348">
        <f>'G - General Pay Plan'!$H$1</f>
        <v>2019</v>
      </c>
    </row>
    <row r="189" spans="1:9" x14ac:dyDescent="0.2">
      <c r="A189" s="307" t="str">
        <f>'G - General Pay Plan'!C276</f>
        <v>ING242</v>
      </c>
      <c r="B189" t="str">
        <f>'G - General Pay Plan'!D276</f>
        <v>IT PROJECT MANAGER 4A</v>
      </c>
      <c r="C189" s="307" t="str">
        <f>'G - General Pay Plan'!A271</f>
        <v>G33</v>
      </c>
      <c r="D189" s="307" t="s">
        <v>386</v>
      </c>
      <c r="E189" s="403">
        <f>'G - General Pay Plan'!E271</f>
        <v>8981.1525000000001</v>
      </c>
      <c r="F189" s="403">
        <f>'G - General Pay Plan'!F271</f>
        <v>10689.426666666666</v>
      </c>
      <c r="G189" s="403">
        <f>'G - General Pay Plan'!G271</f>
        <v>12397.700833333334</v>
      </c>
      <c r="H189" s="307" t="s">
        <v>668</v>
      </c>
      <c r="I189" s="348">
        <f>'G - General Pay Plan'!$H$1</f>
        <v>2019</v>
      </c>
    </row>
    <row r="190" spans="1:9" x14ac:dyDescent="0.2">
      <c r="A190" s="307" t="str">
        <f>'G - General Pay Plan'!C234</f>
        <v>ING253</v>
      </c>
      <c r="B190" t="str">
        <f>'G - General Pay Plan'!D234</f>
        <v>IT SECURITY SOLUTIONS ARCHITECT</v>
      </c>
      <c r="C190" s="307" t="str">
        <f>'G - General Pay Plan'!A219</f>
        <v>G30</v>
      </c>
      <c r="D190" s="41" t="s">
        <v>386</v>
      </c>
      <c r="E190" s="403">
        <f>'G - General Pay Plan'!E219</f>
        <v>7741.52</v>
      </c>
      <c r="F190" s="403">
        <f>'G - General Pay Plan'!F219</f>
        <v>9211.350833333332</v>
      </c>
      <c r="G190" s="403">
        <f>'G - General Pay Plan'!G219</f>
        <v>10681.181666666665</v>
      </c>
      <c r="H190" s="41" t="s">
        <v>668</v>
      </c>
      <c r="I190" s="348">
        <f>'G - General Pay Plan'!H1</f>
        <v>2019</v>
      </c>
    </row>
    <row r="191" spans="1:9" x14ac:dyDescent="0.2">
      <c r="A191" s="307" t="str">
        <f>'G - General Pay Plan'!C94</f>
        <v>ING228</v>
      </c>
      <c r="B191" t="str">
        <f>'G - General Pay Plan'!D94</f>
        <v>IT SYSTEMS ANALYST 1</v>
      </c>
      <c r="C191" s="307" t="str">
        <f>'G - General Pay Plan'!A86</f>
        <v>G23</v>
      </c>
      <c r="D191" s="307" t="s">
        <v>386</v>
      </c>
      <c r="E191" s="403">
        <f>'G - General Pay Plan'!E86</f>
        <v>5469.7758333333331</v>
      </c>
      <c r="F191" s="403">
        <f>'G - General Pay Plan'!F86</f>
        <v>6508.7583333333341</v>
      </c>
      <c r="G191" s="403">
        <f>'G - General Pay Plan'!G86</f>
        <v>7547.7408333333333</v>
      </c>
      <c r="H191" s="307" t="s">
        <v>668</v>
      </c>
      <c r="I191" s="348">
        <f>'G - General Pay Plan'!$H$1</f>
        <v>2019</v>
      </c>
    </row>
    <row r="192" spans="1:9" x14ac:dyDescent="0.2">
      <c r="A192" s="307" t="str">
        <f>'G - General Pay Plan'!C160</f>
        <v>ING227</v>
      </c>
      <c r="B192" t="str">
        <f>'G - General Pay Plan'!D160</f>
        <v>IT SYSTEMS ANALYST 2</v>
      </c>
      <c r="C192" s="307" t="str">
        <f>'G - General Pay Plan'!A146</f>
        <v>G26</v>
      </c>
      <c r="D192" s="307" t="s">
        <v>386</v>
      </c>
      <c r="E192" s="403">
        <f>'G - General Pay Plan'!E146</f>
        <v>6347.9633333333331</v>
      </c>
      <c r="F192" s="403">
        <f>'G - General Pay Plan'!F146</f>
        <v>7553.2383333333337</v>
      </c>
      <c r="G192" s="403">
        <f>'G - General Pay Plan'!G146</f>
        <v>8758.5133333333342</v>
      </c>
      <c r="H192" s="307" t="s">
        <v>668</v>
      </c>
      <c r="I192" s="348">
        <f>'G - General Pay Plan'!$H$1</f>
        <v>2019</v>
      </c>
    </row>
    <row r="193" spans="1:9" x14ac:dyDescent="0.2">
      <c r="A193" s="307" t="str">
        <f>'G - General Pay Plan'!C209</f>
        <v>ING226</v>
      </c>
      <c r="B193" t="str">
        <f>'G - General Pay Plan'!D209</f>
        <v>IT SYSTEMS ANALYST 3</v>
      </c>
      <c r="C193" s="307" t="str">
        <f>'G - General Pay Plan'!A207</f>
        <v>G29</v>
      </c>
      <c r="D193" s="307" t="s">
        <v>386</v>
      </c>
      <c r="E193" s="403">
        <f>'G - General Pay Plan'!E207</f>
        <v>7364.956666666666</v>
      </c>
      <c r="F193" s="403">
        <f>'G - General Pay Plan'!F207</f>
        <v>8765.3845833333326</v>
      </c>
      <c r="G193" s="403">
        <f>'G - General Pay Plan'!G207</f>
        <v>10165.8125</v>
      </c>
      <c r="H193" s="307" t="s">
        <v>668</v>
      </c>
      <c r="I193" s="348">
        <f>'G - General Pay Plan'!$H$1</f>
        <v>2019</v>
      </c>
    </row>
    <row r="194" spans="1:9" x14ac:dyDescent="0.2">
      <c r="A194" s="307" t="str">
        <f>'G - General Pay Plan'!C235</f>
        <v>ING225</v>
      </c>
      <c r="B194" t="str">
        <f>'G - General Pay Plan'!D235</f>
        <v>IT SYSTEMS ANALYST 4A</v>
      </c>
      <c r="C194" s="307" t="str">
        <f>'G - General Pay Plan'!A219</f>
        <v>G30</v>
      </c>
      <c r="D194" s="307" t="s">
        <v>386</v>
      </c>
      <c r="E194" s="403">
        <f>'G - General Pay Plan'!E219</f>
        <v>7741.52</v>
      </c>
      <c r="F194" s="403">
        <f>'G - General Pay Plan'!F219</f>
        <v>9211.350833333332</v>
      </c>
      <c r="G194" s="403">
        <f>'G - General Pay Plan'!G219</f>
        <v>10681.181666666665</v>
      </c>
      <c r="H194" s="307" t="s">
        <v>668</v>
      </c>
      <c r="I194" s="348">
        <f>'G - General Pay Plan'!$H$1</f>
        <v>2019</v>
      </c>
    </row>
    <row r="195" spans="1:9" x14ac:dyDescent="0.2">
      <c r="A195" s="307" t="str">
        <f>'G - General Pay Plan'!C277</f>
        <v>ING224</v>
      </c>
      <c r="B195" t="str">
        <f>'G - General Pay Plan'!D277</f>
        <v>IT SYSTEMS ANALYST 4B</v>
      </c>
      <c r="C195" s="155" t="str">
        <f>'G - General Pay Plan'!A271</f>
        <v>G33</v>
      </c>
      <c r="D195" s="307" t="s">
        <v>386</v>
      </c>
      <c r="E195" s="403">
        <f>'G - General Pay Plan'!E271</f>
        <v>8981.1525000000001</v>
      </c>
      <c r="F195" s="403">
        <f>'G - General Pay Plan'!F271</f>
        <v>10689.426666666666</v>
      </c>
      <c r="G195" s="403">
        <f>'G - General Pay Plan'!G271</f>
        <v>12397.700833333334</v>
      </c>
      <c r="H195" s="307" t="s">
        <v>668</v>
      </c>
      <c r="I195" s="348">
        <f>'G - General Pay Plan'!$H$1</f>
        <v>2019</v>
      </c>
    </row>
    <row r="196" spans="1:9" x14ac:dyDescent="0.2">
      <c r="A196" s="307" t="str">
        <f>'G - General Pay Plan'!C59</f>
        <v>ING504</v>
      </c>
      <c r="B196" t="str">
        <f>'G - General Pay Plan'!D59</f>
        <v>IT TRAINER 1</v>
      </c>
      <c r="C196" s="155" t="str">
        <f>'G - General Pay Plan'!A57</f>
        <v>G20</v>
      </c>
      <c r="D196" s="307" t="s">
        <v>386</v>
      </c>
      <c r="E196" s="403">
        <f>'G - General Pay Plan'!E57</f>
        <v>4712.5283333333327</v>
      </c>
      <c r="F196" s="403">
        <f>'G - General Pay Plan'!F57</f>
        <v>5608.5824999999995</v>
      </c>
      <c r="G196" s="403">
        <f>'G - General Pay Plan'!G57</f>
        <v>6504.6366666666663</v>
      </c>
      <c r="H196" s="307" t="s">
        <v>669</v>
      </c>
      <c r="I196" s="348">
        <f>'G - General Pay Plan'!$H$1</f>
        <v>2019</v>
      </c>
    </row>
    <row r="197" spans="1:9" s="3" customFormat="1" x14ac:dyDescent="0.2">
      <c r="A197" s="307" t="str">
        <f>'G - General Pay Plan'!C95</f>
        <v>ING239</v>
      </c>
      <c r="B197" t="str">
        <f>'G - General Pay Plan'!D95</f>
        <v>IT TRAINER 2</v>
      </c>
      <c r="C197" s="307" t="str">
        <f>'G - General Pay Plan'!A86</f>
        <v>G23</v>
      </c>
      <c r="D197" s="307" t="s">
        <v>386</v>
      </c>
      <c r="E197" s="403">
        <f>'G - General Pay Plan'!E86</f>
        <v>5469.7758333333331</v>
      </c>
      <c r="F197" s="403">
        <f>'G - General Pay Plan'!F86</f>
        <v>6508.7583333333341</v>
      </c>
      <c r="G197" s="403">
        <f>'G - General Pay Plan'!G86</f>
        <v>7547.7408333333333</v>
      </c>
      <c r="H197" s="307" t="s">
        <v>668</v>
      </c>
      <c r="I197" s="348">
        <f>'G - General Pay Plan'!$H$1</f>
        <v>2019</v>
      </c>
    </row>
    <row r="198" spans="1:9" s="3" customFormat="1" ht="13.5" customHeight="1" x14ac:dyDescent="0.2">
      <c r="A198" s="307" t="str">
        <f>'G - General Pay Plan'!C138</f>
        <v>ING238</v>
      </c>
      <c r="B198" t="str">
        <f>'G - General Pay Plan'!D138</f>
        <v>IT TRAINER 3</v>
      </c>
      <c r="C198" s="307" t="str">
        <f>'G - General Pay Plan'!A133</f>
        <v>G25</v>
      </c>
      <c r="D198" s="307" t="s">
        <v>386</v>
      </c>
      <c r="E198" s="403">
        <f>'G - General Pay Plan'!E133</f>
        <v>6042.8658333333333</v>
      </c>
      <c r="F198" s="403">
        <f>'G - General Pay Plan'!F133</f>
        <v>7189.045000000001</v>
      </c>
      <c r="G198" s="403">
        <f>'G - General Pay Plan'!G133</f>
        <v>8335.2241666666669</v>
      </c>
      <c r="H198" s="307" t="s">
        <v>668</v>
      </c>
      <c r="I198" s="348">
        <f>'G - General Pay Plan'!$H$1</f>
        <v>2019</v>
      </c>
    </row>
    <row r="199" spans="1:9" s="3" customFormat="1" x14ac:dyDescent="0.2">
      <c r="A199" s="156" t="str">
        <f>'B- Parks,Util,CS, Trans (rep)'!B52</f>
        <v>MRB705</v>
      </c>
      <c r="B199" s="4" t="str">
        <f>'B- Parks,Util,CS, Trans (rep)'!C52</f>
        <v>LEAD MECHANICAL SVCS TECH</v>
      </c>
      <c r="C199" s="156" t="str">
        <f>'B- Parks,Util,CS, Trans (rep)'!A51</f>
        <v>B34</v>
      </c>
      <c r="D199" s="156">
        <v>6</v>
      </c>
      <c r="E199" s="405">
        <f>'B- Parks,Util,CS, Trans (rep)'!D51</f>
        <v>5415.6007522239997</v>
      </c>
      <c r="F199" s="405">
        <f>(E199+G199)/2</f>
        <v>6108.6576035679991</v>
      </c>
      <c r="G199" s="405">
        <f>'B- Parks,Util,CS, Trans (rep)'!I51</f>
        <v>6801.7144549119994</v>
      </c>
      <c r="H199" s="156" t="s">
        <v>669</v>
      </c>
      <c r="I199" s="347">
        <f>'B- Parks,Util,CS, Trans (rep)'!$K$1</f>
        <v>2018</v>
      </c>
    </row>
    <row r="200" spans="1:9" s="3" customFormat="1" x14ac:dyDescent="0.2">
      <c r="A200" s="307" t="str">
        <f>'D- Police Support (rep)'!B8</f>
        <v>PRD625</v>
      </c>
      <c r="B200" t="str">
        <f>'D- Police Support (rep)'!C8</f>
        <v>LEAD POLICE DATA QUALITY SPCLST</v>
      </c>
      <c r="C200" s="307" t="str">
        <f>'D- Police Support (rep)'!A7</f>
        <v>D21</v>
      </c>
      <c r="D200" s="156">
        <v>6</v>
      </c>
      <c r="E200" s="406">
        <f>'D- Police Support (rep)'!D7</f>
        <v>4081.28</v>
      </c>
      <c r="F200" s="406">
        <f>(E200+G200)/2</f>
        <v>4647.38</v>
      </c>
      <c r="G200" s="406">
        <f>'D- Police Support (rep)'!I7</f>
        <v>5213.4799999999996</v>
      </c>
      <c r="H200" s="156" t="s">
        <v>669</v>
      </c>
      <c r="I200" s="409">
        <f>'D- Police Support (rep)'!$J$1</f>
        <v>2019</v>
      </c>
    </row>
    <row r="201" spans="1:9" s="3" customFormat="1" x14ac:dyDescent="0.2">
      <c r="A201" s="307" t="str">
        <f>'D- Police Support (rep)'!B27</f>
        <v>PRD610</v>
      </c>
      <c r="B201" t="str">
        <f>'D- Police Support (rep)'!C27</f>
        <v>LEAD POLICE SUPPORT SPECIALIST</v>
      </c>
      <c r="C201" s="307" t="str">
        <f>'D- Police Support (rep)'!A27</f>
        <v>D25</v>
      </c>
      <c r="D201" s="67">
        <v>1</v>
      </c>
      <c r="E201" s="406" t="s">
        <v>949</v>
      </c>
      <c r="F201" s="406" t="s">
        <v>949</v>
      </c>
      <c r="G201" s="406">
        <f>'D- Police Support (rep)'!I27</f>
        <v>5865.17</v>
      </c>
      <c r="H201" s="156" t="s">
        <v>669</v>
      </c>
      <c r="I201" s="409">
        <f>'D- Police Support (rep)'!$J$1</f>
        <v>2019</v>
      </c>
    </row>
    <row r="202" spans="1:9" s="3" customFormat="1" x14ac:dyDescent="0.2">
      <c r="A202" s="156" t="str">
        <f>'B- Parks,Util,CS, Trans (rep)'!B35</f>
        <v>MRB702</v>
      </c>
      <c r="B202" s="4" t="str">
        <f>'B- Parks,Util,CS, Trans (rep)'!C35</f>
        <v>LEAD WORKER</v>
      </c>
      <c r="C202" s="156" t="str">
        <f>'B- Parks,Util,CS, Trans (rep)'!A35</f>
        <v>B32</v>
      </c>
      <c r="D202" s="156">
        <v>6</v>
      </c>
      <c r="E202" s="405">
        <f>'B- Parks,Util,CS, Trans (rep)'!D35</f>
        <v>4906.7093962380004</v>
      </c>
      <c r="F202" s="405">
        <f>(E202+G202)/2</f>
        <v>5538.594338979</v>
      </c>
      <c r="G202" s="405">
        <f>'B- Parks,Util,CS, Trans (rep)'!I35</f>
        <v>6170.4792817199996</v>
      </c>
      <c r="H202" s="156" t="s">
        <v>669</v>
      </c>
      <c r="I202" s="347">
        <f>'B- Parks,Util,CS, Trans (rep)'!$K$1</f>
        <v>2018</v>
      </c>
    </row>
    <row r="203" spans="1:9" s="3" customFormat="1" x14ac:dyDescent="0.2">
      <c r="A203" s="156" t="str">
        <f>'B- Parks,Util,CS, Trans (rep)'!B43</f>
        <v>MRB710</v>
      </c>
      <c r="B203" s="4" t="str">
        <f>'B- Parks,Util,CS, Trans (rep)'!C43</f>
        <v>LEAD WORKER - PROGRAMS</v>
      </c>
      <c r="C203" s="156" t="str">
        <f>'B- Parks,Util,CS, Trans (rep)'!A43</f>
        <v>B41</v>
      </c>
      <c r="D203" s="156">
        <v>6</v>
      </c>
      <c r="E203" s="405">
        <f>'B- Parks,Util,CS, Trans (rep)'!D43</f>
        <v>5070.7001482539999</v>
      </c>
      <c r="F203" s="405">
        <f>(E203+G203)/2</f>
        <v>5712.9976088120002</v>
      </c>
      <c r="G203" s="405">
        <f>'B- Parks,Util,CS, Trans (rep)'!I43</f>
        <v>6355.2950693699995</v>
      </c>
      <c r="H203" s="156" t="s">
        <v>669</v>
      </c>
      <c r="I203" s="347">
        <f>'B- Parks,Util,CS, Trans (rep)'!$K$1</f>
        <v>2018</v>
      </c>
    </row>
    <row r="204" spans="1:9" s="3" customFormat="1" x14ac:dyDescent="0.2">
      <c r="A204" s="156" t="str">
        <f>'G - General Pay Plan'!C53</f>
        <v>LNG601</v>
      </c>
      <c r="B204" t="str">
        <f>'G - General Pay Plan'!D53</f>
        <v xml:space="preserve">LEGAL SECRETARY </v>
      </c>
      <c r="C204" s="156" t="str">
        <f>'G - General Pay Plan'!A48</f>
        <v>G19</v>
      </c>
      <c r="D204" s="156" t="s">
        <v>386</v>
      </c>
      <c r="E204" s="404">
        <f>'G - General Pay Plan'!E48</f>
        <v>4485.7666666666664</v>
      </c>
      <c r="F204" s="403">
        <f>(E204+G204)/2</f>
        <v>5337.1550000000007</v>
      </c>
      <c r="G204" s="404">
        <f>'G - General Pay Plan'!G48</f>
        <v>6188.543333333334</v>
      </c>
      <c r="H204" s="156" t="s">
        <v>669</v>
      </c>
      <c r="I204" s="348">
        <f>'G - General Pay Plan'!$H$1</f>
        <v>2019</v>
      </c>
    </row>
    <row r="205" spans="1:9" s="3" customFormat="1" x14ac:dyDescent="0.2">
      <c r="A205" s="156" t="str">
        <f>'G - General Pay Plan'!C96</f>
        <v>LNG207</v>
      </c>
      <c r="B205" t="str">
        <f>'G - General Pay Plan'!D96</f>
        <v>LITIGATION SUPPORT SUPERVISOR</v>
      </c>
      <c r="C205" s="156" t="str">
        <f>'G - General Pay Plan'!A86</f>
        <v>G23</v>
      </c>
      <c r="D205" s="156" t="s">
        <v>386</v>
      </c>
      <c r="E205" s="404">
        <f>'G - General Pay Plan'!E86</f>
        <v>5469.7758333333331</v>
      </c>
      <c r="F205" s="404">
        <f>'G - General Pay Plan'!F86</f>
        <v>6508.7583333333341</v>
      </c>
      <c r="G205" s="404">
        <f>'G - General Pay Plan'!G86</f>
        <v>7547.7408333333333</v>
      </c>
      <c r="H205" s="156" t="s">
        <v>668</v>
      </c>
      <c r="I205" s="348">
        <f>'G - General Pay Plan'!$H$1</f>
        <v>2019</v>
      </c>
    </row>
    <row r="206" spans="1:9" s="3" customFormat="1" x14ac:dyDescent="0.2">
      <c r="A206" s="156" t="str">
        <f>'A- Maint (rep)'!B3</f>
        <v>MMG802</v>
      </c>
      <c r="B206" t="str">
        <f>'A- Maint (rep)'!C3</f>
        <v>MAINTENANCE AIDE 1 - PBM</v>
      </c>
      <c r="C206" s="156" t="str">
        <f>'A- Maint (rep)'!A3</f>
        <v>A01</v>
      </c>
      <c r="D206" s="156">
        <v>6</v>
      </c>
      <c r="E206" s="405">
        <f>'A- Maint (rep)'!D3</f>
        <v>14.950449799999998</v>
      </c>
      <c r="F206" s="405">
        <f t="shared" ref="F206:F212" si="1">(E206+G206)/2</f>
        <v>17.794171719999998</v>
      </c>
      <c r="G206" s="405">
        <f>'A- Maint (rep)'!I3</f>
        <v>20.637893639999998</v>
      </c>
      <c r="H206" s="156" t="s">
        <v>669</v>
      </c>
      <c r="I206" s="348">
        <f>'A- Maint (rep)'!$J$1</f>
        <v>2018</v>
      </c>
    </row>
    <row r="207" spans="1:9" s="3" customFormat="1" x14ac:dyDescent="0.2">
      <c r="A207" s="156" t="str">
        <f>'A- Maint (rep)'!B4</f>
        <v>MPG802</v>
      </c>
      <c r="B207" t="str">
        <f>'A- Maint (rep)'!C4</f>
        <v>MAINTENANCE AIDE 1 - PBP</v>
      </c>
      <c r="C207" s="156" t="str">
        <f>'A- Maint (rep)'!A3</f>
        <v>A01</v>
      </c>
      <c r="D207" s="156">
        <v>6</v>
      </c>
      <c r="E207" s="405">
        <f>'A- Maint (rep)'!D3</f>
        <v>14.950449799999998</v>
      </c>
      <c r="F207" s="405">
        <f t="shared" si="1"/>
        <v>17.794171719999998</v>
      </c>
      <c r="G207" s="405">
        <f>'A- Maint (rep)'!I3</f>
        <v>20.637893639999998</v>
      </c>
      <c r="H207" s="156" t="s">
        <v>669</v>
      </c>
      <c r="I207" s="348">
        <f>'A- Maint (rep)'!$J$1</f>
        <v>2018</v>
      </c>
    </row>
    <row r="208" spans="1:9" s="3" customFormat="1" x14ac:dyDescent="0.2">
      <c r="A208" s="156" t="str">
        <f>'B- Parks,Util,CS, Trans (rep)'!B3</f>
        <v>MRB807</v>
      </c>
      <c r="B208" s="4" t="str">
        <f>'B- Parks,Util,CS, Trans (rep)'!C3</f>
        <v>MAINTENANCE AIDE 1-LTE
Limited Term Employee</v>
      </c>
      <c r="C208" s="156" t="str">
        <f>'B- Parks,Util,CS, Trans (rep)'!A3</f>
        <v>B43</v>
      </c>
      <c r="D208" s="156">
        <v>6</v>
      </c>
      <c r="E208" s="405">
        <f>'B- Parks,Util,CS, Trans (rep)'!D3</f>
        <v>2591.4112986666664</v>
      </c>
      <c r="F208" s="405">
        <f t="shared" si="1"/>
        <v>3084.3230981333327</v>
      </c>
      <c r="G208" s="405">
        <f>'B- Parks,Util,CS, Trans (rep)'!I3</f>
        <v>3577.2348975999994</v>
      </c>
      <c r="H208" s="156" t="s">
        <v>669</v>
      </c>
      <c r="I208" s="347">
        <f>'B- Parks,Util,CS, Trans (rep)'!$K$1</f>
        <v>2018</v>
      </c>
    </row>
    <row r="209" spans="1:9" s="3" customFormat="1" x14ac:dyDescent="0.2">
      <c r="A209" s="156" t="str">
        <f>'A- Maint (rep)'!B6</f>
        <v>MMG804</v>
      </c>
      <c r="B209" t="str">
        <f>'A- Maint (rep)'!C6</f>
        <v>MAINTENANCE AIDE 2 - PBM</v>
      </c>
      <c r="C209" s="156" t="str">
        <f>'A- Maint (rep)'!A6</f>
        <v>A02</v>
      </c>
      <c r="D209" s="156">
        <v>6</v>
      </c>
      <c r="E209" s="405">
        <f>'A- Maint (rep)'!D6</f>
        <v>18.222820979999998</v>
      </c>
      <c r="F209" s="405">
        <f t="shared" si="1"/>
        <v>21.693834499999998</v>
      </c>
      <c r="G209" s="405">
        <f>'A- Maint (rep)'!I6</f>
        <v>25.164848019999997</v>
      </c>
      <c r="H209" s="156" t="s">
        <v>669</v>
      </c>
      <c r="I209" s="348">
        <f>'A- Maint (rep)'!$J$1</f>
        <v>2018</v>
      </c>
    </row>
    <row r="210" spans="1:9" x14ac:dyDescent="0.2">
      <c r="A210" s="156" t="str">
        <f>'A- Maint (rep)'!B7</f>
        <v>MPG804</v>
      </c>
      <c r="B210" t="str">
        <f>'A- Maint (rep)'!C7</f>
        <v>MAINTENANCE AIDE 2 - PBP</v>
      </c>
      <c r="C210" s="156" t="str">
        <f>'A- Maint (rep)'!A6</f>
        <v>A02</v>
      </c>
      <c r="D210" s="156">
        <v>6</v>
      </c>
      <c r="E210" s="405">
        <f>'A- Maint (rep)'!D6</f>
        <v>18.222820979999998</v>
      </c>
      <c r="F210" s="405">
        <f t="shared" si="1"/>
        <v>21.693834499999998</v>
      </c>
      <c r="G210" s="405">
        <f>'A- Maint (rep)'!I6</f>
        <v>25.164848019999997</v>
      </c>
      <c r="H210" s="156" t="s">
        <v>669</v>
      </c>
      <c r="I210" s="348">
        <f>'A- Maint (rep)'!$J$1</f>
        <v>2018</v>
      </c>
    </row>
    <row r="211" spans="1:9" s="3" customFormat="1" x14ac:dyDescent="0.2">
      <c r="A211" s="156" t="str">
        <f>'B- Parks,Util,CS, Trans (rep)'!B11</f>
        <v>MRB808</v>
      </c>
      <c r="B211" s="4" t="str">
        <f>'B- Parks,Util,CS, Trans (rep)'!C11</f>
        <v>MAINTENANCE AIDE 2-LTE
Limited Term Employee</v>
      </c>
      <c r="C211" s="156" t="str">
        <f>'B- Parks,Util,CS, Trans (rep)'!A11</f>
        <v>B44</v>
      </c>
      <c r="D211" s="156">
        <v>6</v>
      </c>
      <c r="E211" s="405">
        <f>'B- Parks,Util,CS, Trans (rep)'!D11</f>
        <v>3158.6223031999998</v>
      </c>
      <c r="F211" s="405">
        <f t="shared" si="1"/>
        <v>3760.2646466666661</v>
      </c>
      <c r="G211" s="405">
        <f>'B- Parks,Util,CS, Trans (rep)'!I11</f>
        <v>4361.9069901333323</v>
      </c>
      <c r="H211" s="156" t="s">
        <v>669</v>
      </c>
      <c r="I211" s="347">
        <f>'B- Parks,Util,CS, Trans (rep)'!$K$1</f>
        <v>2018</v>
      </c>
    </row>
    <row r="212" spans="1:9" s="3" customFormat="1" x14ac:dyDescent="0.2">
      <c r="A212" s="156" t="str">
        <f>'B- Parks,Util,CS, Trans (rep)'!B20</f>
        <v>MRB804</v>
      </c>
      <c r="B212" s="4" t="str">
        <f>'B- Parks,Util,CS, Trans (rep)'!C20</f>
        <v>MAINTENANCE WORKER</v>
      </c>
      <c r="C212" s="156" t="str">
        <f>'B- Parks,Util,CS, Trans (rep)'!A19</f>
        <v>B30</v>
      </c>
      <c r="D212" s="156">
        <v>6</v>
      </c>
      <c r="E212" s="405">
        <f>'B- Parks,Util,CS, Trans (rep)'!D19</f>
        <v>4004.7592146639995</v>
      </c>
      <c r="F212" s="405">
        <f t="shared" si="1"/>
        <v>4518.2067986379998</v>
      </c>
      <c r="G212" s="405">
        <f>'B- Parks,Util,CS, Trans (rep)'!I19</f>
        <v>5031.6543826119996</v>
      </c>
      <c r="H212" s="156" t="s">
        <v>669</v>
      </c>
      <c r="I212" s="347">
        <f>'B- Parks,Util,CS, Trans (rep)'!$K$1</f>
        <v>2018</v>
      </c>
    </row>
    <row r="213" spans="1:9" x14ac:dyDescent="0.2">
      <c r="A213" s="307" t="str">
        <f>'G - General Pay Plan'!C178</f>
        <v>ANG214</v>
      </c>
      <c r="B213" t="str">
        <f>'G - General Pay Plan'!D178</f>
        <v>MANAGEMENT ASST TO THE DIRECTOR</v>
      </c>
      <c r="C213" s="307" t="str">
        <f>'G - General Pay Plan'!A169</f>
        <v>G27</v>
      </c>
      <c r="D213" s="307" t="s">
        <v>386</v>
      </c>
      <c r="E213" s="403">
        <f>'G - General Pay Plan'!E169</f>
        <v>6670.9283333333333</v>
      </c>
      <c r="F213" s="403">
        <f>'G - General Pay Plan'!F169</f>
        <v>7938.0475000000006</v>
      </c>
      <c r="G213" s="403">
        <f>'G - General Pay Plan'!G169</f>
        <v>9205.1666666666661</v>
      </c>
      <c r="H213" s="307" t="s">
        <v>668</v>
      </c>
      <c r="I213" s="348">
        <f>'G - General Pay Plan'!$H$1</f>
        <v>2019</v>
      </c>
    </row>
    <row r="214" spans="1:9" s="3" customFormat="1" x14ac:dyDescent="0.2">
      <c r="A214" s="307" t="str">
        <f>'G - General Pay Plan'!C34</f>
        <v>ANG220</v>
      </c>
      <c r="B214" s="53" t="str">
        <f>'G - General Pay Plan'!D34</f>
        <v>MANAGEMENT FELLOW</v>
      </c>
      <c r="C214" s="307" t="str">
        <f>'G - General Pay Plan'!A31</f>
        <v>G16</v>
      </c>
      <c r="D214" s="41" t="s">
        <v>386</v>
      </c>
      <c r="E214" s="403">
        <f>'G - General Pay Plan'!E31</f>
        <v>3864.5750000000003</v>
      </c>
      <c r="F214" s="404">
        <f>(E214+G214)/2</f>
        <v>4599.8345833333333</v>
      </c>
      <c r="G214" s="403">
        <f>'G - General Pay Plan'!G31</f>
        <v>5335.0941666666668</v>
      </c>
      <c r="H214" s="41" t="s">
        <v>669</v>
      </c>
      <c r="I214" s="348">
        <f>'G - General Pay Plan'!$H$1</f>
        <v>2019</v>
      </c>
    </row>
    <row r="215" spans="1:9" s="3" customFormat="1" x14ac:dyDescent="0.2">
      <c r="A215" s="67" t="str">
        <f>'I -Signals &amp; Electronics (rep)'!B19</f>
        <v>MRI304</v>
      </c>
      <c r="B215" t="str">
        <f>'I -Signals &amp; Electronics (rep)'!C19</f>
        <v>MASTER ELECTRONICS TECHNICIAN</v>
      </c>
      <c r="C215" s="67" t="str">
        <f>'I -Signals &amp; Electronics (rep)'!A19</f>
        <v>I05</v>
      </c>
      <c r="D215" s="67">
        <v>4</v>
      </c>
      <c r="E215" s="68">
        <f>'I -Signals &amp; Electronics (rep)'!F19</f>
        <v>7023.611316972987</v>
      </c>
      <c r="F215" s="68">
        <f>(E215+G215)/2</f>
        <v>7577.8330082849334</v>
      </c>
      <c r="G215" s="68">
        <f>'I -Signals &amp; Electronics (rep)'!I19</f>
        <v>8132.0546995968798</v>
      </c>
      <c r="H215" s="67" t="s">
        <v>669</v>
      </c>
      <c r="I215" s="347">
        <f>'I -Signals &amp; Electronics (rep)'!J1</f>
        <v>2018</v>
      </c>
    </row>
    <row r="216" spans="1:9" s="3" customFormat="1" x14ac:dyDescent="0.2">
      <c r="A216" s="67" t="str">
        <f>'I -Signals &amp; Electronics (rep)'!B20</f>
        <v>MRI305</v>
      </c>
      <c r="B216" t="str">
        <f>'I -Signals &amp; Electronics (rep)'!C20</f>
        <v>MASTER SIGNAL ELECTRICIAN</v>
      </c>
      <c r="C216" s="67" t="str">
        <f>'I -Signals &amp; Electronics (rep)'!A19</f>
        <v>I05</v>
      </c>
      <c r="D216" s="67">
        <v>4</v>
      </c>
      <c r="E216" s="68">
        <f>'I -Signals &amp; Electronics (rep)'!F19</f>
        <v>7023.611316972987</v>
      </c>
      <c r="F216" s="68">
        <f>(E216+G216)/2</f>
        <v>7577.8330082849334</v>
      </c>
      <c r="G216" s="68">
        <f>'I -Signals &amp; Electronics (rep)'!I19</f>
        <v>8132.0546995968798</v>
      </c>
      <c r="H216" s="67" t="s">
        <v>669</v>
      </c>
      <c r="I216" s="347">
        <f>'I -Signals &amp; Electronics (rep)'!J1</f>
        <v>2018</v>
      </c>
    </row>
    <row r="217" spans="1:9" x14ac:dyDescent="0.2">
      <c r="A217" s="307" t="str">
        <f>'C- City Council'!C9</f>
        <v>CNC103</v>
      </c>
      <c r="B217" t="str">
        <f>'C- City Council'!D9</f>
        <v>MAYOR</v>
      </c>
      <c r="C217" s="307" t="str">
        <f>'C- City Council'!A9</f>
        <v>C03</v>
      </c>
      <c r="D217" s="307" t="s">
        <v>386</v>
      </c>
      <c r="E217" s="403" t="s">
        <v>665</v>
      </c>
      <c r="F217" s="403" t="s">
        <v>665</v>
      </c>
      <c r="G217" s="403">
        <f>'C- City Council'!E9</f>
        <v>2829</v>
      </c>
      <c r="H217" s="307" t="s">
        <v>668</v>
      </c>
      <c r="I217" s="409">
        <f>'C- City Council'!F1</f>
        <v>2019</v>
      </c>
    </row>
    <row r="218" spans="1:9" x14ac:dyDescent="0.2">
      <c r="A218" s="156" t="str">
        <f>'B- Parks,Util,CS, Trans (rep)'!B37</f>
        <v>MRB703</v>
      </c>
      <c r="B218" s="4" t="str">
        <f>'B- Parks,Util,CS, Trans (rep)'!C37</f>
        <v>MECHANICAL SERVICES TECH</v>
      </c>
      <c r="C218" s="156" t="str">
        <f>'B- Parks,Util,CS, Trans (rep)'!A35</f>
        <v>B32</v>
      </c>
      <c r="D218" s="156">
        <v>6</v>
      </c>
      <c r="E218" s="405">
        <f>'B- Parks,Util,CS, Trans (rep)'!D35</f>
        <v>4906.7093962380004</v>
      </c>
      <c r="F218" s="405">
        <f>(E218+G218)/2</f>
        <v>5538.594338979</v>
      </c>
      <c r="G218" s="405">
        <f>'B- Parks,Util,CS, Trans (rep)'!I35</f>
        <v>6170.4792817199996</v>
      </c>
      <c r="H218" s="156" t="s">
        <v>669</v>
      </c>
      <c r="I218" s="347">
        <f>'B- Parks,Util,CS, Trans (rep)'!$K$1</f>
        <v>2018</v>
      </c>
    </row>
    <row r="219" spans="1:9" x14ac:dyDescent="0.2">
      <c r="A219" s="156" t="str">
        <f>'B- Parks,Util,CS, Trans (rep)'!B23</f>
        <v>MRB805</v>
      </c>
      <c r="B219" s="4" t="str">
        <f>'B- Parks,Util,CS, Trans (rep)'!C23</f>
        <v>METER READER</v>
      </c>
      <c r="C219" s="156" t="str">
        <f>'B- Parks,Util,CS, Trans (rep)'!A23</f>
        <v>B40</v>
      </c>
      <c r="D219" s="156">
        <v>6</v>
      </c>
      <c r="E219" s="405">
        <f>'B- Parks,Util,CS, Trans (rep)'!D23</f>
        <v>4043.8049803059998</v>
      </c>
      <c r="F219" s="405">
        <f>(E219+G219)/2</f>
        <v>4561.8077467820003</v>
      </c>
      <c r="G219" s="405">
        <f>'B- Parks,Util,CS, Trans (rep)'!I23</f>
        <v>5079.8105132580004</v>
      </c>
      <c r="H219" s="156" t="s">
        <v>669</v>
      </c>
      <c r="I219" s="347">
        <f>'B- Parks,Util,CS, Trans (rep)'!$K$1</f>
        <v>2018</v>
      </c>
    </row>
    <row r="220" spans="1:9" x14ac:dyDescent="0.2">
      <c r="A220" s="156" t="str">
        <f>'B- Parks,Util,CS, Trans (rep)'!B27</f>
        <v>MRB806</v>
      </c>
      <c r="B220" s="4" t="str">
        <f>'B- Parks,Util,CS, Trans (rep)'!C27</f>
        <v>METER REPAIR SPECIALIST</v>
      </c>
      <c r="C220" s="156" t="str">
        <f>'B- Parks,Util,CS, Trans (rep)'!A27</f>
        <v>B31</v>
      </c>
      <c r="D220" s="156">
        <v>6</v>
      </c>
      <c r="E220" s="405">
        <f>'B- Parks,Util,CS, Trans (rep)'!D27</f>
        <v>4502.2471796119999</v>
      </c>
      <c r="F220" s="405">
        <f>(E220+G220)/2</f>
        <v>5080.2925932199996</v>
      </c>
      <c r="G220" s="405">
        <f>'B- Parks,Util,CS, Trans (rep)'!I27</f>
        <v>5658.3380068279994</v>
      </c>
      <c r="H220" s="156" t="s">
        <v>669</v>
      </c>
      <c r="I220" s="347">
        <f>'B- Parks,Util,CS, Trans (rep)'!$K$1</f>
        <v>2018</v>
      </c>
    </row>
    <row r="221" spans="1:9" x14ac:dyDescent="0.2">
      <c r="A221" s="307" t="str">
        <f>'G - General Pay Plan'!C179</f>
        <v>GNG209</v>
      </c>
      <c r="B221" t="str">
        <f>'G - General Pay Plan'!D179</f>
        <v>NEIGHBOORHOOD PROGRAM MANAGER</v>
      </c>
      <c r="C221" s="307" t="str">
        <f>'G - General Pay Plan'!A169</f>
        <v>G27</v>
      </c>
      <c r="D221" s="307" t="s">
        <v>386</v>
      </c>
      <c r="E221" s="403">
        <f>'G - General Pay Plan'!E169</f>
        <v>6670.9283333333333</v>
      </c>
      <c r="F221" s="403">
        <f>'G - General Pay Plan'!F169</f>
        <v>7938.0475000000006</v>
      </c>
      <c r="G221" s="403">
        <f>'G - General Pay Plan'!G169</f>
        <v>9205.1666666666661</v>
      </c>
      <c r="H221" s="307" t="s">
        <v>668</v>
      </c>
      <c r="I221" s="348">
        <f>'G - General Pay Plan'!$H$1</f>
        <v>2019</v>
      </c>
    </row>
    <row r="222" spans="1:9" x14ac:dyDescent="0.2">
      <c r="A222" s="307" t="str">
        <f>'G - General Pay Plan'!C266</f>
        <v>ENG213</v>
      </c>
      <c r="B222" t="str">
        <f>'G - General Pay Plan'!D266</f>
        <v>NEIGHBORHOOD TRANSPORTATION SVC MGR</v>
      </c>
      <c r="C222" s="307" t="str">
        <f>'G - General Pay Plan'!A262</f>
        <v>G32</v>
      </c>
      <c r="D222" s="307" t="s">
        <v>386</v>
      </c>
      <c r="E222" s="403">
        <f>'G - General Pay Plan'!E262</f>
        <v>8548.2433333333338</v>
      </c>
      <c r="F222" s="403">
        <f>'G - General Pay Plan'!F262</f>
        <v>10171.997083333334</v>
      </c>
      <c r="G222" s="403">
        <f>'G - General Pay Plan'!G262</f>
        <v>11795.750833333334</v>
      </c>
      <c r="H222" s="307" t="s">
        <v>668</v>
      </c>
      <c r="I222" s="348">
        <f>'G - General Pay Plan'!$H$1</f>
        <v>2019</v>
      </c>
    </row>
    <row r="223" spans="1:9" x14ac:dyDescent="0.2">
      <c r="A223" s="307" t="str">
        <f>'G - General Pay Plan'!C199</f>
        <v>DNG230</v>
      </c>
      <c r="B223" t="str">
        <f>'G - General Pay Plan'!D199</f>
        <v>NPDES PERMIT COORDINATOR</v>
      </c>
      <c r="C223" s="307" t="str">
        <f>'G - General Pay Plan'!A192</f>
        <v>G28</v>
      </c>
      <c r="D223" s="41" t="s">
        <v>386</v>
      </c>
      <c r="E223" s="403">
        <f>'G - General Pay Plan'!E192</f>
        <v>7010.3841666666667</v>
      </c>
      <c r="F223" s="403">
        <f>'G - General Pay Plan'!F192</f>
        <v>8341.4087500000005</v>
      </c>
      <c r="G223" s="403">
        <f>'G - General Pay Plan'!G192</f>
        <v>9672.4333333333325</v>
      </c>
      <c r="H223" s="41" t="s">
        <v>668</v>
      </c>
      <c r="I223" s="348">
        <f>'G - General Pay Plan'!H1</f>
        <v>2019</v>
      </c>
    </row>
    <row r="224" spans="1:9" x14ac:dyDescent="0.2">
      <c r="A224" s="307" t="str">
        <f>'G - General Pay Plan'!C23</f>
        <v>ANG605</v>
      </c>
      <c r="B224" t="str">
        <f>'G - General Pay Plan'!D23</f>
        <v>OFFICE ASSISTANT</v>
      </c>
      <c r="C224" s="307" t="str">
        <f>'G - General Pay Plan'!A23</f>
        <v>G13</v>
      </c>
      <c r="D224" s="307" t="s">
        <v>386</v>
      </c>
      <c r="E224" s="403">
        <f>'G - General Pay Plan'!E23</f>
        <v>3329.9675000000002</v>
      </c>
      <c r="F224" s="403">
        <f>(E224+G224)/2</f>
        <v>3963.5266666666666</v>
      </c>
      <c r="G224" s="403">
        <f>'G - General Pay Plan'!G23</f>
        <v>4597.0858333333335</v>
      </c>
      <c r="H224" s="307" t="s">
        <v>669</v>
      </c>
      <c r="I224" s="348">
        <f>'G - General Pay Plan'!$H$1</f>
        <v>2019</v>
      </c>
    </row>
    <row r="225" spans="1:9" x14ac:dyDescent="0.2">
      <c r="A225" s="156" t="str">
        <f>'G - General Pay Plan'!C7</f>
        <v>ANG607</v>
      </c>
      <c r="B225" t="str">
        <f>'G - General Pay Plan'!D7</f>
        <v>OFFICE CLERK</v>
      </c>
      <c r="C225" s="156" t="str">
        <f>'G - General Pay Plan'!A7</f>
        <v>G07</v>
      </c>
      <c r="D225" s="156" t="s">
        <v>386</v>
      </c>
      <c r="E225" s="404">
        <f>'G - General Pay Plan'!E7</f>
        <v>2472.3933333333334</v>
      </c>
      <c r="F225" s="404">
        <f>(E225+G225)/2</f>
        <v>2943.7837499999996</v>
      </c>
      <c r="G225" s="404">
        <f>'G - General Pay Plan'!G7</f>
        <v>3415.1741666666662</v>
      </c>
      <c r="H225" s="156" t="s">
        <v>669</v>
      </c>
      <c r="I225" s="348">
        <f>'G - General Pay Plan'!$H$1</f>
        <v>2019</v>
      </c>
    </row>
    <row r="226" spans="1:9" x14ac:dyDescent="0.2">
      <c r="A226" s="307" t="str">
        <f>'G - General Pay Plan'!C210</f>
        <v>MNG203</v>
      </c>
      <c r="B226" t="str">
        <f>'G - General Pay Plan'!D210</f>
        <v>OPERATIONS MANAGER</v>
      </c>
      <c r="C226" s="307" t="str">
        <f>'G - General Pay Plan'!A207</f>
        <v>G29</v>
      </c>
      <c r="D226" s="307" t="s">
        <v>386</v>
      </c>
      <c r="E226" s="403">
        <f>'G - General Pay Plan'!E207</f>
        <v>7364.956666666666</v>
      </c>
      <c r="F226" s="403">
        <f>'G - General Pay Plan'!F207</f>
        <v>8765.3845833333326</v>
      </c>
      <c r="G226" s="403">
        <f>'G - General Pay Plan'!G207</f>
        <v>10165.8125</v>
      </c>
      <c r="H226" s="307" t="s">
        <v>668</v>
      </c>
      <c r="I226" s="348">
        <f>'G - General Pay Plan'!$H$1</f>
        <v>2019</v>
      </c>
    </row>
    <row r="227" spans="1:9" s="3" customFormat="1" x14ac:dyDescent="0.2">
      <c r="A227" s="307" t="str">
        <f>'G - General Pay Plan'!C122</f>
        <v>MNG204</v>
      </c>
      <c r="B227" t="str">
        <f>'G - General Pay Plan'!D122</f>
        <v>OPERATIONS SUPERVISOR</v>
      </c>
      <c r="C227" s="307" t="str">
        <f>'G - General Pay Plan'!A106</f>
        <v>G24</v>
      </c>
      <c r="D227" s="307" t="s">
        <v>386</v>
      </c>
      <c r="E227" s="403">
        <f>'G - General Pay Plan'!E106</f>
        <v>5748.7624999999998</v>
      </c>
      <c r="F227" s="403">
        <f>'G - General Pay Plan'!F106</f>
        <v>6840.65625</v>
      </c>
      <c r="G227" s="403">
        <f>'G - General Pay Plan'!G106</f>
        <v>7932.55</v>
      </c>
      <c r="H227" s="307" t="s">
        <v>668</v>
      </c>
      <c r="I227" s="348">
        <f>'G - General Pay Plan'!$H$1</f>
        <v>2019</v>
      </c>
    </row>
    <row r="228" spans="1:9" x14ac:dyDescent="0.2">
      <c r="A228" s="156" t="str">
        <f>'G - General Pay Plan'!C200</f>
        <v>HNG208</v>
      </c>
      <c r="B228" t="str">
        <f>'G - General Pay Plan'!D200</f>
        <v>ORGANIZATION DEVELOPMENT CONSULTANT</v>
      </c>
      <c r="C228" s="156" t="str">
        <f>'G - General Pay Plan'!A192</f>
        <v>G28</v>
      </c>
      <c r="D228" s="156" t="s">
        <v>386</v>
      </c>
      <c r="E228" s="404">
        <f>'G - General Pay Plan'!E192</f>
        <v>7010.3841666666667</v>
      </c>
      <c r="F228" s="404">
        <f>'G - General Pay Plan'!F192</f>
        <v>8341.4087500000005</v>
      </c>
      <c r="G228" s="404">
        <f>'G - General Pay Plan'!G192</f>
        <v>9672.4333333333325</v>
      </c>
      <c r="H228" s="69" t="s">
        <v>668</v>
      </c>
      <c r="I228" s="348">
        <f>'G - General Pay Plan'!$H$1</f>
        <v>2019</v>
      </c>
    </row>
    <row r="229" spans="1:9" x14ac:dyDescent="0.2">
      <c r="A229" s="307" t="str">
        <f>'G - General Pay Plan'!C82</f>
        <v>LNG204</v>
      </c>
      <c r="B229" t="str">
        <f>'G - General Pay Plan'!D82</f>
        <v>PARALEGAL</v>
      </c>
      <c r="C229" s="307" t="str">
        <f>'G - General Pay Plan'!A73</f>
        <v>G22</v>
      </c>
      <c r="D229" s="307" t="s">
        <v>386</v>
      </c>
      <c r="E229" s="403">
        <f>'G - General Pay Plan'!E73</f>
        <v>5205.9083333333338</v>
      </c>
      <c r="F229" s="403">
        <f>'G - General Pay Plan'!F73</f>
        <v>6195.4154166666667</v>
      </c>
      <c r="G229" s="403">
        <f>'G - General Pay Plan'!G73</f>
        <v>7184.9225000000006</v>
      </c>
      <c r="H229" s="307" t="s">
        <v>669</v>
      </c>
      <c r="I229" s="348">
        <f>'G - General Pay Plan'!$H$1</f>
        <v>2019</v>
      </c>
    </row>
    <row r="230" spans="1:9" x14ac:dyDescent="0.2">
      <c r="A230" s="307" t="str">
        <f>'G - General Pay Plan'!C11</f>
        <v>RNG801</v>
      </c>
      <c r="B230" t="str">
        <f>'G - General Pay Plan'!D11</f>
        <v>PARK PATROL OFFICER</v>
      </c>
      <c r="C230" s="307" t="str">
        <f>'G - General Pay Plan'!A11</f>
        <v>G08</v>
      </c>
      <c r="D230" s="307" t="s">
        <v>386</v>
      </c>
      <c r="E230" s="403">
        <f>'G - General Pay Plan'!E11</f>
        <v>2598.8308333333334</v>
      </c>
      <c r="F230" s="403">
        <f>(E230+G230)/2</f>
        <v>3093.5841666666665</v>
      </c>
      <c r="G230" s="403">
        <f>'G - General Pay Plan'!G11</f>
        <v>3588.3375000000001</v>
      </c>
      <c r="H230" s="307" t="s">
        <v>669</v>
      </c>
      <c r="I230" s="348">
        <f>'G - General Pay Plan'!$H$1</f>
        <v>2019</v>
      </c>
    </row>
    <row r="231" spans="1:9" x14ac:dyDescent="0.2">
      <c r="A231" s="307" t="str">
        <f>'G - General Pay Plan'!C97</f>
        <v>RNG207</v>
      </c>
      <c r="B231" t="str">
        <f>'G - General Pay Plan'!D97</f>
        <v>PARK RANGER</v>
      </c>
      <c r="C231" s="307" t="str">
        <f>'G - General Pay Plan'!A86</f>
        <v>G23</v>
      </c>
      <c r="D231" s="307" t="s">
        <v>386</v>
      </c>
      <c r="E231" s="403">
        <f>'G - General Pay Plan'!E86</f>
        <v>5469.7758333333331</v>
      </c>
      <c r="F231" s="403">
        <f>'G - General Pay Plan'!F86</f>
        <v>6508.7583333333341</v>
      </c>
      <c r="G231" s="403">
        <f>'G - General Pay Plan'!G86</f>
        <v>7547.7408333333333</v>
      </c>
      <c r="H231" s="307" t="s">
        <v>668</v>
      </c>
      <c r="I231" s="348">
        <f>'G - General Pay Plan'!$H$1</f>
        <v>2019</v>
      </c>
    </row>
    <row r="232" spans="1:9" x14ac:dyDescent="0.2">
      <c r="A232" s="307" t="str">
        <f>'G - General Pay Plan'!C211</f>
        <v>RNG208</v>
      </c>
      <c r="B232" t="str">
        <f>'G - General Pay Plan'!D211</f>
        <v>PARKS &amp; COMMUNITY SERVICES MANAGER</v>
      </c>
      <c r="C232" s="307" t="str">
        <f>'G - General Pay Plan'!A207</f>
        <v>G29</v>
      </c>
      <c r="D232" s="307" t="s">
        <v>386</v>
      </c>
      <c r="E232" s="403">
        <f>'G - General Pay Plan'!E207</f>
        <v>7364.956666666666</v>
      </c>
      <c r="F232" s="403">
        <f>'G - General Pay Plan'!F207</f>
        <v>8765.3845833333326</v>
      </c>
      <c r="G232" s="403">
        <f>'G - General Pay Plan'!G207</f>
        <v>10165.8125</v>
      </c>
      <c r="H232" s="307" t="s">
        <v>668</v>
      </c>
      <c r="I232" s="348">
        <f>'G - General Pay Plan'!$H$1</f>
        <v>2019</v>
      </c>
    </row>
    <row r="233" spans="1:9" x14ac:dyDescent="0.2">
      <c r="A233" s="307" t="str">
        <f>'G - General Pay Plan'!C236</f>
        <v>RNG212</v>
      </c>
      <c r="B233" s="2" t="str">
        <f>'G - General Pay Plan'!D236</f>
        <v>PARKS PLANNING AND DEVELOPMENT MANAGER</v>
      </c>
      <c r="C233" s="307" t="str">
        <f>'G - General Pay Plan'!A219</f>
        <v>G30</v>
      </c>
      <c r="D233" s="41" t="s">
        <v>386</v>
      </c>
      <c r="E233" s="403">
        <f>'G - General Pay Plan'!E219</f>
        <v>7741.52</v>
      </c>
      <c r="F233" s="403">
        <f>'G - General Pay Plan'!F219</f>
        <v>9211.350833333332</v>
      </c>
      <c r="G233" s="403">
        <f>'G - General Pay Plan'!G219</f>
        <v>10681.181666666665</v>
      </c>
      <c r="H233" s="555" t="s">
        <v>668</v>
      </c>
      <c r="I233" s="348">
        <f>'G - General Pay Plan'!H1</f>
        <v>2019</v>
      </c>
    </row>
    <row r="234" spans="1:9" x14ac:dyDescent="0.2">
      <c r="A234" s="307" t="str">
        <f>'G - General Pay Plan'!C237</f>
        <v>ANG221</v>
      </c>
      <c r="B234" s="53" t="str">
        <f>'G - General Pay Plan'!D237</f>
        <v>PARKS PROPERTY AND ACQUISITIONS MANAGER</v>
      </c>
      <c r="C234" s="307" t="str">
        <f>'G - General Pay Plan'!A219</f>
        <v>G30</v>
      </c>
      <c r="D234" s="41" t="s">
        <v>386</v>
      </c>
      <c r="E234" s="403">
        <f>'G - General Pay Plan'!E219</f>
        <v>7741.52</v>
      </c>
      <c r="F234" s="403">
        <f>'G - General Pay Plan'!F219</f>
        <v>9211.350833333332</v>
      </c>
      <c r="G234" s="403">
        <f>'G - General Pay Plan'!G219</f>
        <v>10681.181666666665</v>
      </c>
      <c r="H234" s="41" t="s">
        <v>668</v>
      </c>
      <c r="I234" s="348">
        <f>'G - General Pay Plan'!$H$1</f>
        <v>2019</v>
      </c>
    </row>
    <row r="235" spans="1:9" x14ac:dyDescent="0.2">
      <c r="A235" s="307" t="str">
        <f>'G - General Pay Plan'!C238</f>
        <v>MNG205</v>
      </c>
      <c r="B235" t="str">
        <f>'G - General Pay Plan'!D238</f>
        <v>PARKS RESOURCE MANAGER</v>
      </c>
      <c r="C235" s="307" t="str">
        <f>'G - General Pay Plan'!A219</f>
        <v>G30</v>
      </c>
      <c r="D235" s="307" t="s">
        <v>386</v>
      </c>
      <c r="E235" s="403">
        <f>'G - General Pay Plan'!E219</f>
        <v>7741.52</v>
      </c>
      <c r="F235" s="403">
        <f>'G - General Pay Plan'!F219</f>
        <v>9211.350833333332</v>
      </c>
      <c r="G235" s="403">
        <f>'G - General Pay Plan'!G219</f>
        <v>10681.181666666665</v>
      </c>
      <c r="H235" s="307" t="s">
        <v>668</v>
      </c>
      <c r="I235" s="348">
        <f>'G - General Pay Plan'!$H$1</f>
        <v>2019</v>
      </c>
    </row>
    <row r="236" spans="1:9" x14ac:dyDescent="0.2">
      <c r="A236" s="307" t="str">
        <f>'G - General Pay Plan'!C212</f>
        <v>ENG217</v>
      </c>
      <c r="B236" t="str">
        <f>'G - General Pay Plan'!D212</f>
        <v>PAVEMENT PROJECT MANAGER</v>
      </c>
      <c r="C236" s="307" t="str">
        <f>'G - General Pay Plan'!A207</f>
        <v>G29</v>
      </c>
      <c r="D236" s="307" t="s">
        <v>386</v>
      </c>
      <c r="E236" s="403">
        <f>'G - General Pay Plan'!E207</f>
        <v>7364.956666666666</v>
      </c>
      <c r="F236" s="403">
        <f>'G - General Pay Plan'!F207</f>
        <v>8765.3845833333326</v>
      </c>
      <c r="G236" s="403">
        <f>'G - General Pay Plan'!G207</f>
        <v>10165.8125</v>
      </c>
      <c r="H236" s="307" t="s">
        <v>668</v>
      </c>
      <c r="I236" s="348">
        <f>'G - General Pay Plan'!$H$1</f>
        <v>2019</v>
      </c>
    </row>
    <row r="237" spans="1:9" s="3" customFormat="1" x14ac:dyDescent="0.2">
      <c r="A237" s="307" t="str">
        <f>'G - General Pay Plan'!C161</f>
        <v>BNG213</v>
      </c>
      <c r="B237" t="str">
        <f>'G - General Pay Plan'!D161</f>
        <v>PERFORMANCE &amp; OUTREACH COORDINATOR</v>
      </c>
      <c r="C237" s="307" t="str">
        <f>'G - General Pay Plan'!A146</f>
        <v>G26</v>
      </c>
      <c r="D237" s="307" t="s">
        <v>386</v>
      </c>
      <c r="E237" s="403">
        <f>'G - General Pay Plan'!E146</f>
        <v>6347.9633333333331</v>
      </c>
      <c r="F237" s="403">
        <f>'G - General Pay Plan'!F146</f>
        <v>7553.2383333333337</v>
      </c>
      <c r="G237" s="403">
        <f>'G - General Pay Plan'!G146</f>
        <v>8758.5133333333342</v>
      </c>
      <c r="H237" s="307" t="s">
        <v>668</v>
      </c>
      <c r="I237" s="348">
        <f>'G - General Pay Plan'!$H$1</f>
        <v>2019</v>
      </c>
    </row>
    <row r="238" spans="1:9" s="3" customFormat="1" x14ac:dyDescent="0.2">
      <c r="A238" s="307" t="str">
        <f>'G - General Pay Plan'!C162</f>
        <v>DNG227</v>
      </c>
      <c r="B238" t="str">
        <f>'G - General Pay Plan'!D162</f>
        <v>PERMIT CENTER MANAGER</v>
      </c>
      <c r="C238" s="307" t="str">
        <f>'G - General Pay Plan'!A146</f>
        <v>G26</v>
      </c>
      <c r="D238" s="307" t="s">
        <v>386</v>
      </c>
      <c r="E238" s="403">
        <f>'G - General Pay Plan'!E146</f>
        <v>6347.9633333333331</v>
      </c>
      <c r="F238" s="403">
        <f>'G - General Pay Plan'!F146</f>
        <v>7553.2383333333337</v>
      </c>
      <c r="G238" s="403">
        <f>'G - General Pay Plan'!G146</f>
        <v>8758.5133333333342</v>
      </c>
      <c r="H238" s="307" t="s">
        <v>668</v>
      </c>
      <c r="I238" s="348">
        <f>'G - General Pay Plan'!$H$1</f>
        <v>2019</v>
      </c>
    </row>
    <row r="239" spans="1:9" s="3" customFormat="1" x14ac:dyDescent="0.2">
      <c r="A239" s="307" t="str">
        <f>'G - General Pay Plan'!C54</f>
        <v>DNG502</v>
      </c>
      <c r="B239" t="str">
        <f>'G - General Pay Plan'!D54</f>
        <v>PERMIT PROCESSING TECHNICIAN</v>
      </c>
      <c r="C239" s="307" t="str">
        <f>'G - General Pay Plan'!A48</f>
        <v>G19</v>
      </c>
      <c r="D239" s="307" t="s">
        <v>386</v>
      </c>
      <c r="E239" s="403">
        <f>'G - General Pay Plan'!E48</f>
        <v>4485.7666666666664</v>
      </c>
      <c r="F239" s="403">
        <f>(E239+G239)/2</f>
        <v>5337.1550000000007</v>
      </c>
      <c r="G239" s="403">
        <f>'G - General Pay Plan'!G48</f>
        <v>6188.543333333334</v>
      </c>
      <c r="H239" s="307" t="s">
        <v>669</v>
      </c>
      <c r="I239" s="348">
        <f>'G - General Pay Plan'!$H$1</f>
        <v>2019</v>
      </c>
    </row>
    <row r="240" spans="1:9" s="3" customFormat="1" x14ac:dyDescent="0.2">
      <c r="A240" s="307" t="str">
        <f>'G - General Pay Plan'!C239</f>
        <v>DNG213</v>
      </c>
      <c r="B240" t="str">
        <f>'G - General Pay Plan'!D239</f>
        <v>PLANNING MANAGER</v>
      </c>
      <c r="C240" s="307" t="str">
        <f>'G - General Pay Plan'!A219</f>
        <v>G30</v>
      </c>
      <c r="D240" s="307" t="s">
        <v>386</v>
      </c>
      <c r="E240" s="403">
        <f>'G - General Pay Plan'!E219</f>
        <v>7741.52</v>
      </c>
      <c r="F240" s="403">
        <f>'G - General Pay Plan'!F219</f>
        <v>9211.350833333332</v>
      </c>
      <c r="G240" s="403">
        <f>'G - General Pay Plan'!G219</f>
        <v>10681.181666666665</v>
      </c>
      <c r="H240" s="307" t="s">
        <v>668</v>
      </c>
      <c r="I240" s="348">
        <f>'G - General Pay Plan'!$H$1</f>
        <v>2019</v>
      </c>
    </row>
    <row r="241" spans="1:9" s="3" customFormat="1" x14ac:dyDescent="0.2">
      <c r="A241" s="156" t="str">
        <f>'G - General Pay Plan'!C180</f>
        <v>JNG203</v>
      </c>
      <c r="B241" t="str">
        <f>'G - General Pay Plan'!D180</f>
        <v>PLANS EXAMINATION SUPERVISOR</v>
      </c>
      <c r="C241" s="156" t="str">
        <f>'G - General Pay Plan'!A169</f>
        <v>G27</v>
      </c>
      <c r="D241" s="156" t="s">
        <v>386</v>
      </c>
      <c r="E241" s="404">
        <f>'G - General Pay Plan'!E169</f>
        <v>6670.9283333333333</v>
      </c>
      <c r="F241" s="404">
        <f>'G - General Pay Plan'!F169</f>
        <v>7938.0475000000006</v>
      </c>
      <c r="G241" s="404">
        <f>'G - General Pay Plan'!G169</f>
        <v>9205.1666666666661</v>
      </c>
      <c r="H241" s="156" t="s">
        <v>668</v>
      </c>
      <c r="I241" s="348">
        <f>'G - General Pay Plan'!$H$1</f>
        <v>2019</v>
      </c>
    </row>
    <row r="242" spans="1:9" s="3" customFormat="1" x14ac:dyDescent="0.2">
      <c r="A242" s="67" t="str">
        <f>'H- Bldg Insp, Examiners (rep)'!C9</f>
        <v>JRH303</v>
      </c>
      <c r="B242" t="str">
        <f>'H- Bldg Insp, Examiners (rep)'!D9</f>
        <v>PLANS EXAMINER</v>
      </c>
      <c r="C242" s="67" t="str">
        <f>'H- Bldg Insp, Examiners (rep)'!A7</f>
        <v>H03</v>
      </c>
      <c r="D242" s="67">
        <v>3</v>
      </c>
      <c r="E242" s="68">
        <f>'H- Bldg Insp, Examiners (rep)'!E7</f>
        <v>7223.3161515984002</v>
      </c>
      <c r="F242" s="68">
        <f>'H- Bldg Insp, Examiners (rep)'!F7</f>
        <v>7591.2102878136002</v>
      </c>
      <c r="G242" s="68">
        <f>'H- Bldg Insp, Examiners (rep)'!G7</f>
        <v>7973.9452951284002</v>
      </c>
      <c r="H242" s="67" t="s">
        <v>668</v>
      </c>
      <c r="I242" s="347">
        <f>'H- Bldg Insp, Examiners (rep)'!$H$1</f>
        <v>2018</v>
      </c>
    </row>
    <row r="243" spans="1:9" s="3" customFormat="1" x14ac:dyDescent="0.2">
      <c r="A243" s="156" t="str">
        <f>'J- Police Mgmt (rep)'!C3</f>
        <v>PRJ201</v>
      </c>
      <c r="B243" t="str">
        <f>'J- Police Mgmt (rep)'!D3</f>
        <v>POLICE CAPTAIN</v>
      </c>
      <c r="C243" s="156" t="str">
        <f>'J- Police Mgmt (rep)'!A3</f>
        <v>J01</v>
      </c>
      <c r="D243" s="156">
        <v>2</v>
      </c>
      <c r="E243" s="407">
        <f>'J- Police Mgmt (rep)'!E3</f>
        <v>10534.722</v>
      </c>
      <c r="F243" s="407" t="s">
        <v>665</v>
      </c>
      <c r="G243" s="407">
        <f>'J- Police Mgmt (rep)'!F3</f>
        <v>11061.501</v>
      </c>
      <c r="H243" s="156" t="s">
        <v>668</v>
      </c>
      <c r="I243" s="348">
        <f>'J- Police Mgmt (rep)'!$G$1</f>
        <v>2019</v>
      </c>
    </row>
    <row r="244" spans="1:9" s="3" customFormat="1" x14ac:dyDescent="0.2">
      <c r="A244" s="156" t="str">
        <f>'P-Police (rep)'!B7</f>
        <v>PRP403</v>
      </c>
      <c r="B244" s="4" t="str">
        <f>'P-Police (rep)'!C7</f>
        <v>POLICE CORPORAL</v>
      </c>
      <c r="C244" s="156" t="str">
        <f>'P-Police (rep)'!A7</f>
        <v>P15</v>
      </c>
      <c r="D244" s="156">
        <v>1</v>
      </c>
      <c r="E244" s="407" t="s">
        <v>665</v>
      </c>
      <c r="F244" s="407" t="s">
        <v>665</v>
      </c>
      <c r="G244" s="646">
        <f>'P-Police (rep)'!G7</f>
        <v>8628.11</v>
      </c>
      <c r="H244" s="156" t="s">
        <v>669</v>
      </c>
      <c r="I244" s="409">
        <f>'P-Police (rep)'!H1</f>
        <v>2019</v>
      </c>
    </row>
    <row r="245" spans="1:9" x14ac:dyDescent="0.2">
      <c r="A245" s="307" t="str">
        <f>'D- Police Support (rep)'!B39</f>
        <v>PRD305</v>
      </c>
      <c r="B245" t="str">
        <f>'D- Police Support (rep)'!C39</f>
        <v>POLICE CRIME ANALYST</v>
      </c>
      <c r="C245" s="307" t="str">
        <f>'D- Police Support (rep)'!A39</f>
        <v>D44</v>
      </c>
      <c r="D245" s="156">
        <v>6</v>
      </c>
      <c r="E245" s="406">
        <f>'D- Police Support (rep)'!D39</f>
        <v>5707.4</v>
      </c>
      <c r="F245" s="406">
        <f>(E245+G245)/2</f>
        <v>6495.82</v>
      </c>
      <c r="G245" s="406">
        <f>'D- Police Support (rep)'!I39</f>
        <v>7284.24</v>
      </c>
      <c r="H245" s="156" t="s">
        <v>669</v>
      </c>
      <c r="I245" s="409">
        <f>'D- Police Support (rep)'!$J$1</f>
        <v>2019</v>
      </c>
    </row>
    <row r="246" spans="1:9" x14ac:dyDescent="0.2">
      <c r="A246" s="307" t="str">
        <f>'D- Police Support (rep)'!B35</f>
        <v>PRD304</v>
      </c>
      <c r="B246" t="str">
        <f>'D- Police Support (rep)'!C35</f>
        <v>POLICE DATA ANALYST</v>
      </c>
      <c r="C246" s="307" t="str">
        <f>'D- Police Support (rep)'!A35</f>
        <v>D29</v>
      </c>
      <c r="D246" s="156">
        <v>6</v>
      </c>
      <c r="E246" s="406">
        <f>'D- Police Support (rep)'!D35</f>
        <v>5300.95</v>
      </c>
      <c r="F246" s="406">
        <f>(E246+G246)/2</f>
        <v>6032.74</v>
      </c>
      <c r="G246" s="406">
        <f>'D- Police Support (rep)'!I35</f>
        <v>6764.53</v>
      </c>
      <c r="H246" s="156" t="s">
        <v>669</v>
      </c>
      <c r="I246" s="409">
        <f>'D- Police Support (rep)'!$J$1</f>
        <v>2019</v>
      </c>
    </row>
    <row r="247" spans="1:9" x14ac:dyDescent="0.2">
      <c r="A247" s="307" t="str">
        <f>'D- Police Support (rep)'!B3</f>
        <v>PRD624</v>
      </c>
      <c r="B247" t="str">
        <f>'D- Police Support (rep)'!C3</f>
        <v>POLICE DATA QUALITY SPECIALIST</v>
      </c>
      <c r="C247" s="307" t="str">
        <f>'D- Police Support (rep)'!A3</f>
        <v>D20</v>
      </c>
      <c r="D247" s="156">
        <v>6</v>
      </c>
      <c r="E247" s="406">
        <f>'D- Police Support (rep)'!D3</f>
        <v>3679.86</v>
      </c>
      <c r="F247" s="406">
        <f>(E247+G247)/2</f>
        <v>4191.5150000000003</v>
      </c>
      <c r="G247" s="406">
        <f>'D- Police Support (rep)'!I3</f>
        <v>4703.17</v>
      </c>
      <c r="H247" s="156" t="s">
        <v>669</v>
      </c>
      <c r="I247" s="409">
        <f>'D- Police Support (rep)'!$J$1</f>
        <v>2019</v>
      </c>
    </row>
    <row r="248" spans="1:9" s="3" customFormat="1" x14ac:dyDescent="0.2">
      <c r="A248" s="307" t="str">
        <f>'D- Police Support (rep)'!B43</f>
        <v>PRD306</v>
      </c>
      <c r="B248" t="str">
        <f>'D- Police Support (rep)'!C43</f>
        <v>POLICE FORENSIC TECHNICIAN</v>
      </c>
      <c r="C248" s="307" t="str">
        <f>'D- Police Support (rep)'!A43</f>
        <v>D30</v>
      </c>
      <c r="D248" s="156">
        <v>6</v>
      </c>
      <c r="E248" s="406">
        <f>'D- Police Support (rep)'!D43</f>
        <v>6013.21</v>
      </c>
      <c r="F248" s="406">
        <f>(E248+G248)/2</f>
        <v>6843.4449999999997</v>
      </c>
      <c r="G248" s="406">
        <f>'D- Police Support (rep)'!I43</f>
        <v>7673.68</v>
      </c>
      <c r="H248" s="156" t="s">
        <v>669</v>
      </c>
      <c r="I248" s="409">
        <f>'D- Police Support (rep)'!$J$1</f>
        <v>2019</v>
      </c>
    </row>
    <row r="249" spans="1:9" s="3" customFormat="1" x14ac:dyDescent="0.2">
      <c r="A249" s="156" t="str">
        <f>'J- Police Mgmt (rep)'!C7</f>
        <v>PRJ202</v>
      </c>
      <c r="B249" t="str">
        <f>'J- Police Mgmt (rep)'!D7</f>
        <v>POLICE MAJOR</v>
      </c>
      <c r="C249" s="156" t="str">
        <f>'J- Police Mgmt (rep)'!A7</f>
        <v>J02</v>
      </c>
      <c r="D249" s="156">
        <v>2</v>
      </c>
      <c r="E249" s="407">
        <f>'J- Police Mgmt (rep)'!E7</f>
        <v>11964.413</v>
      </c>
      <c r="F249" s="407" t="s">
        <v>665</v>
      </c>
      <c r="G249" s="407">
        <f>'J- Police Mgmt (rep)'!F7</f>
        <v>12562.337</v>
      </c>
      <c r="H249" s="156" t="s">
        <v>668</v>
      </c>
      <c r="I249" s="348">
        <f>'J- Police Mgmt (rep)'!$G$1</f>
        <v>2019</v>
      </c>
    </row>
    <row r="250" spans="1:9" s="3" customFormat="1" x14ac:dyDescent="0.2">
      <c r="A250" s="156" t="str">
        <f>'P-Police (rep)'!B3</f>
        <v>PRP402</v>
      </c>
      <c r="B250" s="4" t="str">
        <f>'P-Police (rep)'!C3</f>
        <v>POLICE OFFICER</v>
      </c>
      <c r="C250" s="156" t="str">
        <f>'P-Police (rep)'!A3</f>
        <v>P10</v>
      </c>
      <c r="D250" s="156">
        <v>5</v>
      </c>
      <c r="E250" s="646">
        <f>'P-Police (rep)'!D3</f>
        <v>6238.99</v>
      </c>
      <c r="F250" s="405">
        <f>(E250+G250)/2</f>
        <v>7114.6399999999994</v>
      </c>
      <c r="G250" s="646">
        <f>'P-Police (rep)'!G3</f>
        <v>7990.29</v>
      </c>
      <c r="H250" s="156" t="s">
        <v>669</v>
      </c>
      <c r="I250" s="409">
        <f>'P-Police (rep)'!H1</f>
        <v>2019</v>
      </c>
    </row>
    <row r="251" spans="1:9" s="3" customFormat="1" x14ac:dyDescent="0.2">
      <c r="A251" s="307" t="str">
        <f>'D- Police Support (rep)'!B15</f>
        <v>PRD622</v>
      </c>
      <c r="B251" t="str">
        <f>'D- Police Support (rep)'!C15</f>
        <v>POLICE PERSONNEL SUPPORT SPECIALIST</v>
      </c>
      <c r="C251" s="307" t="str">
        <f>'D- Police Support (rep)'!A15</f>
        <v>D41</v>
      </c>
      <c r="D251" s="156">
        <v>6</v>
      </c>
      <c r="E251" s="406">
        <f>'D- Police Support (rep)'!D15</f>
        <v>4344.88</v>
      </c>
      <c r="F251" s="406">
        <f>(E251+G251)/2</f>
        <v>4945.0750000000007</v>
      </c>
      <c r="G251" s="406">
        <f>'D- Police Support (rep)'!I15</f>
        <v>5545.27</v>
      </c>
      <c r="H251" s="156" t="s">
        <v>669</v>
      </c>
      <c r="I251" s="409">
        <f>'D- Police Support (rep)'!$J$1</f>
        <v>2019</v>
      </c>
    </row>
    <row r="252" spans="1:9" s="3" customFormat="1" x14ac:dyDescent="0.2">
      <c r="A252" s="307" t="str">
        <f>'D- Police Support (rep)'!B19</f>
        <v>PRD626</v>
      </c>
      <c r="B252" t="str">
        <f>'D- Police Support (rep)'!C19</f>
        <v>POLICE PROPERTY EVIDENCE TECH</v>
      </c>
      <c r="C252" s="307" t="str">
        <f>'D- Police Support (rep)'!A19</f>
        <v>D23</v>
      </c>
      <c r="D252" s="156">
        <v>6</v>
      </c>
      <c r="E252" s="406">
        <f>'D- Police Support (rep)'!D19</f>
        <v>4351.1499999999996</v>
      </c>
      <c r="F252" s="406">
        <f>(E252+G252)/2</f>
        <v>4951.7449999999999</v>
      </c>
      <c r="G252" s="406">
        <f>'D- Police Support (rep)'!I19</f>
        <v>5552.34</v>
      </c>
      <c r="H252" s="156" t="s">
        <v>669</v>
      </c>
      <c r="I252" s="409">
        <f>'D- Police Support (rep)'!$J$1</f>
        <v>2019</v>
      </c>
    </row>
    <row r="253" spans="1:9" s="3" customFormat="1" x14ac:dyDescent="0.2">
      <c r="A253" s="307" t="s">
        <v>1124</v>
      </c>
      <c r="B253" t="s">
        <v>42</v>
      </c>
      <c r="C253" s="41" t="s">
        <v>69</v>
      </c>
      <c r="D253" s="343" t="s">
        <v>386</v>
      </c>
      <c r="E253" s="406">
        <v>6042.8658333333333</v>
      </c>
      <c r="F253" s="406">
        <v>7189.045000000001</v>
      </c>
      <c r="G253" s="406">
        <v>8335.2241666666669</v>
      </c>
      <c r="H253" s="343" t="s">
        <v>668</v>
      </c>
      <c r="I253" s="409">
        <v>2019</v>
      </c>
    </row>
    <row r="254" spans="1:9" s="3" customFormat="1" x14ac:dyDescent="0.2">
      <c r="A254" s="307" t="str">
        <f>'S-Police Support Supvsr'!B3</f>
        <v>PNS202</v>
      </c>
      <c r="B254" t="str">
        <f>'S-Police Support Supvsr'!C3</f>
        <v>POLICE RECORDS SUPERVISOR</v>
      </c>
      <c r="C254" s="307" t="str">
        <f>'S-Police Support Supvsr'!A3</f>
        <v>S24</v>
      </c>
      <c r="D254" s="307" t="s">
        <v>386</v>
      </c>
      <c r="E254" s="403">
        <f>'S-Police Support Supvsr'!D3</f>
        <v>5748.7624999999998</v>
      </c>
      <c r="F254" s="403">
        <f>'S-Police Support Supvsr'!E3</f>
        <v>6840.65625</v>
      </c>
      <c r="G254" s="403">
        <f>'S-Police Support Supvsr'!F3</f>
        <v>7932.55</v>
      </c>
      <c r="H254" s="307" t="s">
        <v>669</v>
      </c>
      <c r="I254" s="347">
        <f>'S-Police Support Supvsr'!$G$1</f>
        <v>2019</v>
      </c>
    </row>
    <row r="255" spans="1:9" x14ac:dyDescent="0.2">
      <c r="A255" s="156" t="str">
        <f>'P-Police (rep)'!B11</f>
        <v>PRP401</v>
      </c>
      <c r="B255" s="4" t="str">
        <f>'P-Police (rep)'!C11</f>
        <v>POLICE SERGEANT</v>
      </c>
      <c r="C255" s="644" t="str">
        <f>'P-Police (rep)'!A11</f>
        <v>P60</v>
      </c>
      <c r="D255" s="156">
        <v>2</v>
      </c>
      <c r="E255" s="646">
        <f>'P-Police (rep)'!F11</f>
        <v>9138.1299999999992</v>
      </c>
      <c r="F255" s="407" t="s">
        <v>665</v>
      </c>
      <c r="G255" s="646">
        <f>'P-Police (rep)'!G11</f>
        <v>9557.09</v>
      </c>
      <c r="H255" s="156" t="s">
        <v>669</v>
      </c>
      <c r="I255" s="409">
        <f>'P-Police (rep)'!H1</f>
        <v>2019</v>
      </c>
    </row>
    <row r="256" spans="1:9" x14ac:dyDescent="0.2">
      <c r="A256" s="307" t="str">
        <f>'D- Police Support (rep)'!B31</f>
        <v>PRD623</v>
      </c>
      <c r="B256" t="str">
        <f>'D- Police Support (rep)'!C31</f>
        <v>POLICE SUPPORT ADMIN ASST</v>
      </c>
      <c r="C256" s="307" t="str">
        <f>'D- Police Support (rep)'!A31</f>
        <v>D46</v>
      </c>
      <c r="D256" s="156">
        <v>6</v>
      </c>
      <c r="E256" s="406">
        <f>'D- Police Support (rep)'!D31</f>
        <v>4848.8900000000003</v>
      </c>
      <c r="F256" s="406">
        <f>(E256+G256)/2</f>
        <v>5518.72</v>
      </c>
      <c r="G256" s="406">
        <f>'D- Police Support (rep)'!I31</f>
        <v>6188.55</v>
      </c>
      <c r="H256" s="156" t="s">
        <v>669</v>
      </c>
      <c r="I256" s="409">
        <f>'D- Police Support (rep)'!$J$1</f>
        <v>2019</v>
      </c>
    </row>
    <row r="257" spans="1:9" x14ac:dyDescent="0.2">
      <c r="A257" s="307" t="str">
        <f>'D- Police Support (rep)'!B11</f>
        <v>PRD607</v>
      </c>
      <c r="B257" t="str">
        <f>'D- Police Support (rep)'!C11</f>
        <v>POLICE SUPPORT INFO/TECH SPEC</v>
      </c>
      <c r="C257" s="307" t="str">
        <f>'D- Police Support (rep)'!A11</f>
        <v>D22</v>
      </c>
      <c r="D257" s="156">
        <v>6</v>
      </c>
      <c r="E257" s="406">
        <f>'D- Police Support (rep)'!D11</f>
        <v>4244.4799999999996</v>
      </c>
      <c r="F257" s="406">
        <f>(E257+G257)/2</f>
        <v>4832.4750000000004</v>
      </c>
      <c r="G257" s="406">
        <f>'D- Police Support (rep)'!I11</f>
        <v>5420.47</v>
      </c>
      <c r="H257" s="156" t="s">
        <v>669</v>
      </c>
      <c r="I257" s="409">
        <f>'D- Police Support (rep)'!$J$1</f>
        <v>2019</v>
      </c>
    </row>
    <row r="258" spans="1:9" x14ac:dyDescent="0.2">
      <c r="A258" s="307" t="str">
        <f>'D- Police Support (rep)'!B23</f>
        <v>PRD401</v>
      </c>
      <c r="B258" t="str">
        <f>'D- Police Support (rep)'!C23</f>
        <v>POLICE SUPPORT OFFICER</v>
      </c>
      <c r="C258" s="307" t="str">
        <f>'D- Police Support (rep)'!A23</f>
        <v>D24</v>
      </c>
      <c r="D258" s="156">
        <v>6</v>
      </c>
      <c r="E258" s="406">
        <f>'D- Police Support (rep)'!D23</f>
        <v>4397.37</v>
      </c>
      <c r="F258" s="406">
        <f>(E258+G258)/2</f>
        <v>4996.7649999999994</v>
      </c>
      <c r="G258" s="406">
        <f>'D- Police Support (rep)'!I23</f>
        <v>5596.16</v>
      </c>
      <c r="H258" s="156" t="s">
        <v>669</v>
      </c>
      <c r="I258" s="409">
        <f>'D- Police Support (rep)'!$J$1</f>
        <v>2019</v>
      </c>
    </row>
    <row r="259" spans="1:9" x14ac:dyDescent="0.2">
      <c r="A259" s="307" t="str">
        <f>'D- Police Support (rep)'!B7</f>
        <v>PRD609</v>
      </c>
      <c r="B259" t="str">
        <f>'D- Police Support (rep)'!C7</f>
        <v>POLICE SUPPORT SPECIALIST</v>
      </c>
      <c r="C259" s="307" t="str">
        <f>'D- Police Support (rep)'!A7</f>
        <v>D21</v>
      </c>
      <c r="D259" s="156">
        <v>6</v>
      </c>
      <c r="E259" s="406">
        <f>'D- Police Support (rep)'!D7</f>
        <v>4081.28</v>
      </c>
      <c r="F259" s="406">
        <f>(E259+G259)/2</f>
        <v>4647.38</v>
      </c>
      <c r="G259" s="406">
        <f>'D- Police Support (rep)'!I7</f>
        <v>5213.4799999999996</v>
      </c>
      <c r="H259" s="156" t="s">
        <v>669</v>
      </c>
      <c r="I259" s="409">
        <f>'D- Police Support (rep)'!$J$1</f>
        <v>2019</v>
      </c>
    </row>
    <row r="260" spans="1:9" x14ac:dyDescent="0.2">
      <c r="A260" s="307" t="str">
        <f>'D- Police Support (rep)'!B32</f>
        <v>PRD501</v>
      </c>
      <c r="B260" t="str">
        <f>'D- Police Support (rep)'!C32</f>
        <v>POLICE SUPPORT SR ACCTG ASSC*</v>
      </c>
      <c r="C260" s="307" t="str">
        <f>'D- Police Support (rep)'!A31</f>
        <v>D46</v>
      </c>
      <c r="D260" s="156">
        <v>6</v>
      </c>
      <c r="E260" s="406">
        <f>'D- Police Support (rep)'!D31</f>
        <v>4848.8900000000003</v>
      </c>
      <c r="F260" s="406">
        <f>(E260+G260)/2</f>
        <v>5518.72</v>
      </c>
      <c r="G260" s="406">
        <f>'D- Police Support (rep)'!I31</f>
        <v>6188.55</v>
      </c>
      <c r="H260" s="156" t="s">
        <v>669</v>
      </c>
      <c r="I260" s="409">
        <f>'D- Police Support (rep)'!$J$1</f>
        <v>2019</v>
      </c>
    </row>
    <row r="261" spans="1:9" x14ac:dyDescent="0.2">
      <c r="A261" s="307" t="str">
        <f>'G - General Pay Plan'!C163</f>
        <v>PNG203</v>
      </c>
      <c r="B261" t="str">
        <f>'G - General Pay Plan'!D163</f>
        <v>POLICE SYSTEMS MANAGER</v>
      </c>
      <c r="C261" s="155" t="s">
        <v>144</v>
      </c>
      <c r="D261" s="307" t="s">
        <v>386</v>
      </c>
      <c r="E261" s="403">
        <f>'G - General Pay Plan'!E146</f>
        <v>6347.9633333333331</v>
      </c>
      <c r="F261" s="403">
        <f>'G - General Pay Plan'!F146</f>
        <v>7553.2383333333337</v>
      </c>
      <c r="G261" s="403">
        <f>'G - General Pay Plan'!G146</f>
        <v>8758.5133333333342</v>
      </c>
      <c r="H261" s="307" t="s">
        <v>668</v>
      </c>
      <c r="I261" s="348">
        <f>'G - General Pay Plan'!$H$1</f>
        <v>2019</v>
      </c>
    </row>
    <row r="262" spans="1:9" x14ac:dyDescent="0.2">
      <c r="A262" s="307" t="str">
        <f>'G - General Pay Plan'!C240</f>
        <v>ENG223</v>
      </c>
      <c r="B262" s="2" t="str">
        <f>'G - General Pay Plan'!D240</f>
        <v>PRINCIPAL ENGINEER</v>
      </c>
      <c r="C262" s="307" t="str">
        <f>'G - General Pay Plan'!A219</f>
        <v>G30</v>
      </c>
      <c r="D262" s="41" t="s">
        <v>386</v>
      </c>
      <c r="E262" s="403">
        <f>'G - General Pay Plan'!E219</f>
        <v>7741.52</v>
      </c>
      <c r="F262" s="403">
        <f>'G - General Pay Plan'!F219</f>
        <v>9211.350833333332</v>
      </c>
      <c r="G262" s="403">
        <f>'G - General Pay Plan'!G219</f>
        <v>10681.181666666665</v>
      </c>
      <c r="H262" s="41" t="s">
        <v>668</v>
      </c>
      <c r="I262" s="348">
        <f>'G - General Pay Plan'!H1</f>
        <v>2019</v>
      </c>
    </row>
    <row r="263" spans="1:9" s="3" customFormat="1" x14ac:dyDescent="0.2">
      <c r="A263" s="307" t="str">
        <f>'G - General Pay Plan'!C123</f>
        <v>SNG202</v>
      </c>
      <c r="B263" t="str">
        <f>'G - General Pay Plan'!D123</f>
        <v>PROBATION DIVISION ASSISTANT MANAGER</v>
      </c>
      <c r="C263" s="307" t="str">
        <f>'G - General Pay Plan'!A106</f>
        <v>G24</v>
      </c>
      <c r="D263" s="307" t="s">
        <v>386</v>
      </c>
      <c r="E263" s="403">
        <f>'G - General Pay Plan'!E106</f>
        <v>5748.7624999999998</v>
      </c>
      <c r="F263" s="403">
        <f>'G - General Pay Plan'!F106</f>
        <v>6840.65625</v>
      </c>
      <c r="G263" s="403">
        <f>'G - General Pay Plan'!G106</f>
        <v>7932.55</v>
      </c>
      <c r="H263" s="307" t="s">
        <v>668</v>
      </c>
      <c r="I263" s="348">
        <f>'G - General Pay Plan'!$H$1</f>
        <v>2019</v>
      </c>
    </row>
    <row r="264" spans="1:9" x14ac:dyDescent="0.2">
      <c r="A264" s="307" t="str">
        <f>'G - General Pay Plan'!C214</f>
        <v>SNG203</v>
      </c>
      <c r="B264" t="str">
        <f>'G - General Pay Plan'!D214</f>
        <v>PROBATION MANAGER</v>
      </c>
      <c r="C264" s="307" t="str">
        <f>'G - General Pay Plan'!A207</f>
        <v>G29</v>
      </c>
      <c r="D264" s="307" t="s">
        <v>386</v>
      </c>
      <c r="E264" s="403">
        <f>'G - General Pay Plan'!E207</f>
        <v>7364.956666666666</v>
      </c>
      <c r="F264" s="403">
        <f>'G - General Pay Plan'!F207</f>
        <v>8765.3845833333326</v>
      </c>
      <c r="G264" s="403">
        <f>'G - General Pay Plan'!G207</f>
        <v>10165.8125</v>
      </c>
      <c r="H264" s="307" t="s">
        <v>668</v>
      </c>
      <c r="I264" s="348">
        <f>'G - General Pay Plan'!$H$1</f>
        <v>2019</v>
      </c>
    </row>
    <row r="265" spans="1:9" x14ac:dyDescent="0.2">
      <c r="A265" s="307" t="str">
        <f>'G - General Pay Plan'!C83</f>
        <v>SNG204</v>
      </c>
      <c r="B265" t="str">
        <f>'G - General Pay Plan'!D83</f>
        <v>PROBATION OFFICER</v>
      </c>
      <c r="C265" s="307" t="str">
        <f>'G - General Pay Plan'!A73</f>
        <v>G22</v>
      </c>
      <c r="D265" s="307" t="s">
        <v>386</v>
      </c>
      <c r="E265" s="403">
        <f>'G - General Pay Plan'!E73</f>
        <v>5205.9083333333338</v>
      </c>
      <c r="F265" s="403">
        <f>'G - General Pay Plan'!F73</f>
        <v>6195.4154166666667</v>
      </c>
      <c r="G265" s="403">
        <f>'G - General Pay Plan'!G73</f>
        <v>7184.9225000000006</v>
      </c>
      <c r="H265" s="307" t="s">
        <v>668</v>
      </c>
      <c r="I265" s="348">
        <f>'G - General Pay Plan'!$H$1</f>
        <v>2019</v>
      </c>
    </row>
    <row r="266" spans="1:9" x14ac:dyDescent="0.2">
      <c r="A266" s="307" t="str">
        <f>'G - General Pay Plan'!C70</f>
        <v>BNG504</v>
      </c>
      <c r="B266" t="str">
        <f>'G - General Pay Plan'!D70</f>
        <v>PROCUREMENT SPECIALIST</v>
      </c>
      <c r="C266" s="307" t="str">
        <f>'G - General Pay Plan'!A64</f>
        <v>G21</v>
      </c>
      <c r="D266" s="307" t="s">
        <v>386</v>
      </c>
      <c r="E266" s="403">
        <f>'G - General Pay Plan'!E64</f>
        <v>4953.0333333333338</v>
      </c>
      <c r="F266" s="403">
        <f>'G - General Pay Plan'!F64</f>
        <v>5893.7524999999996</v>
      </c>
      <c r="G266" s="403">
        <f>'G - General Pay Plan'!G64</f>
        <v>6834.4716666666673</v>
      </c>
      <c r="H266" s="307" t="s">
        <v>669</v>
      </c>
      <c r="I266" s="348">
        <f>'G - General Pay Plan'!$H$1</f>
        <v>2019</v>
      </c>
    </row>
    <row r="267" spans="1:9" x14ac:dyDescent="0.2">
      <c r="A267" s="307" t="str">
        <f>'G - General Pay Plan'!C201</f>
        <v>ENG304</v>
      </c>
      <c r="B267" t="str">
        <f>'G - General Pay Plan'!D201</f>
        <v>PROFESSIONAL LAND SURVEYOR</v>
      </c>
      <c r="C267" s="307" t="str">
        <f>'G - General Pay Plan'!A192</f>
        <v>G28</v>
      </c>
      <c r="D267" s="307" t="s">
        <v>386</v>
      </c>
      <c r="E267" s="403">
        <f>'G - General Pay Plan'!E192</f>
        <v>7010.3841666666667</v>
      </c>
      <c r="F267" s="403">
        <f>'G - General Pay Plan'!F192</f>
        <v>8341.4087500000005</v>
      </c>
      <c r="G267" s="403">
        <f>'G - General Pay Plan'!G192</f>
        <v>9672.4333333333325</v>
      </c>
      <c r="H267" s="307" t="s">
        <v>668</v>
      </c>
      <c r="I267" s="348">
        <f>'G - General Pay Plan'!$H$1</f>
        <v>2019</v>
      </c>
    </row>
    <row r="268" spans="1:9" x14ac:dyDescent="0.2">
      <c r="A268" s="307" t="str">
        <f>'G - General Pay Plan'!C124</f>
        <v>ANG208</v>
      </c>
      <c r="B268" t="str">
        <f>'G - General Pay Plan'!D124</f>
        <v>PROGRAM ADMINISTRATOR</v>
      </c>
      <c r="C268" s="307" t="str">
        <f>'G - General Pay Plan'!A106</f>
        <v>G24</v>
      </c>
      <c r="D268" s="307" t="s">
        <v>386</v>
      </c>
      <c r="E268" s="403">
        <f>'G - General Pay Plan'!E106</f>
        <v>5748.7624999999998</v>
      </c>
      <c r="F268" s="403">
        <f>(E268+G268)/2</f>
        <v>6840.65625</v>
      </c>
      <c r="G268" s="403">
        <f>'G - General Pay Plan'!G106</f>
        <v>7932.55</v>
      </c>
      <c r="H268" s="307" t="s">
        <v>668</v>
      </c>
      <c r="I268" s="348">
        <f>'G - General Pay Plan'!$H$1</f>
        <v>2019</v>
      </c>
    </row>
    <row r="269" spans="1:9" x14ac:dyDescent="0.2">
      <c r="A269" s="307" t="str">
        <f>'G - General Pay Plan'!C181</f>
        <v>ANG209</v>
      </c>
      <c r="B269" t="str">
        <f>'G - General Pay Plan'!D181</f>
        <v>PROGRAM MANAGER</v>
      </c>
      <c r="C269" s="307" t="str">
        <f>'G - General Pay Plan'!A169</f>
        <v>G27</v>
      </c>
      <c r="D269" s="307" t="s">
        <v>386</v>
      </c>
      <c r="E269" s="403">
        <f>'G - General Pay Plan'!E169</f>
        <v>6670.9283333333333</v>
      </c>
      <c r="F269" s="403">
        <f>'G - General Pay Plan'!F169</f>
        <v>7938.0475000000006</v>
      </c>
      <c r="G269" s="403">
        <f>'G - General Pay Plan'!G169</f>
        <v>9205.1666666666661</v>
      </c>
      <c r="H269" s="307" t="s">
        <v>668</v>
      </c>
      <c r="I269" s="348">
        <f>'G - General Pay Plan'!$H$1</f>
        <v>2019</v>
      </c>
    </row>
    <row r="270" spans="1:9" x14ac:dyDescent="0.2">
      <c r="A270" s="307" t="str">
        <f>'G - General Pay Plan'!C99</f>
        <v>PNG301</v>
      </c>
      <c r="B270" t="str">
        <f>'G - General Pay Plan'!D99</f>
        <v>PROPERTY EVIDENCE SUPERVISOR</v>
      </c>
      <c r="C270" s="307" t="str">
        <f>'G - General Pay Plan'!A86</f>
        <v>G23</v>
      </c>
      <c r="D270" s="307" t="s">
        <v>386</v>
      </c>
      <c r="E270" s="403">
        <f>'G - General Pay Plan'!E86</f>
        <v>5469.7758333333331</v>
      </c>
      <c r="F270" s="403">
        <f>'G - General Pay Plan'!F86</f>
        <v>6508.7583333333341</v>
      </c>
      <c r="G270" s="403">
        <f>'G - General Pay Plan'!G86</f>
        <v>7547.7408333333333</v>
      </c>
      <c r="H270" s="307" t="s">
        <v>669</v>
      </c>
      <c r="I270" s="348">
        <f>'G - General Pay Plan'!$H$1</f>
        <v>2019</v>
      </c>
    </row>
    <row r="271" spans="1:9" x14ac:dyDescent="0.2">
      <c r="A271" s="307" t="str">
        <f>'G - General Pay Plan'!C84</f>
        <v>ANG216</v>
      </c>
      <c r="B271" t="str">
        <f>'G - General Pay Plan'!D84</f>
        <v>PUBLIC DISCLOSURE ANALYST</v>
      </c>
      <c r="C271" s="307" t="str">
        <f>'G - General Pay Plan'!A73</f>
        <v>G22</v>
      </c>
      <c r="D271" s="307" t="s">
        <v>386</v>
      </c>
      <c r="E271" s="403">
        <f>'G - General Pay Plan'!E73</f>
        <v>5205.9083333333338</v>
      </c>
      <c r="F271" s="403">
        <f>'G - General Pay Plan'!F73</f>
        <v>6195.4154166666667</v>
      </c>
      <c r="G271" s="403">
        <f>'G - General Pay Plan'!G73</f>
        <v>7184.9225000000006</v>
      </c>
      <c r="H271" s="307" t="s">
        <v>669</v>
      </c>
      <c r="I271" s="348">
        <f>'G - General Pay Plan'!$H$1</f>
        <v>2019</v>
      </c>
    </row>
    <row r="272" spans="1:9" x14ac:dyDescent="0.2">
      <c r="A272" s="307" t="str">
        <f>'G - General Pay Plan'!C60</f>
        <v>ANG504</v>
      </c>
      <c r="B272" t="str">
        <f>'G - General Pay Plan'!D60</f>
        <v>PUBLIC RECORDS ANALYST</v>
      </c>
      <c r="C272" s="307" t="str">
        <f>'G - General Pay Plan'!A57</f>
        <v>G20</v>
      </c>
      <c r="D272" s="307" t="s">
        <v>386</v>
      </c>
      <c r="E272" s="403">
        <f>'G - General Pay Plan'!E57</f>
        <v>4712.5283333333327</v>
      </c>
      <c r="F272" s="403">
        <f>'G - General Pay Plan'!F57</f>
        <v>5608.5824999999995</v>
      </c>
      <c r="G272" s="403">
        <f>'G - General Pay Plan'!G57</f>
        <v>6504.6366666666663</v>
      </c>
      <c r="H272" s="307" t="s">
        <v>669</v>
      </c>
      <c r="I272" s="348">
        <f>'G - General Pay Plan'!$H$1</f>
        <v>2019</v>
      </c>
    </row>
    <row r="273" spans="1:9" x14ac:dyDescent="0.2">
      <c r="A273" s="307" t="str">
        <f>'G - General Pay Plan'!C44</f>
        <v>ANG609</v>
      </c>
      <c r="B273" t="str">
        <f>'G - General Pay Plan'!D44</f>
        <v>PUBLIC RECORDS MGMT SPECIALIST</v>
      </c>
      <c r="C273" s="307" t="str">
        <f>'G - General Pay Plan'!A43</f>
        <v>G18</v>
      </c>
      <c r="D273" s="307" t="s">
        <v>386</v>
      </c>
      <c r="E273" s="403">
        <f>'G - General Pay Plan'!E43</f>
        <v>4267.25</v>
      </c>
      <c r="F273" s="403">
        <f>(E273+G273)/2</f>
        <v>5078.0962500000005</v>
      </c>
      <c r="G273" s="403">
        <f>'G - General Pay Plan'!G43</f>
        <v>5888.9425000000001</v>
      </c>
      <c r="H273" s="307" t="s">
        <v>669</v>
      </c>
      <c r="I273" s="348">
        <f>'G - General Pay Plan'!$H$1</f>
        <v>2019</v>
      </c>
    </row>
    <row r="274" spans="1:9" x14ac:dyDescent="0.2">
      <c r="A274" s="307" t="str">
        <f>'G - General Pay Plan'!C100</f>
        <v>DNG215</v>
      </c>
      <c r="B274" t="str">
        <f>'G - General Pay Plan'!D100</f>
        <v>REAL PROPERTY AGENT</v>
      </c>
      <c r="C274" s="307" t="str">
        <f>'G - General Pay Plan'!A86</f>
        <v>G23</v>
      </c>
      <c r="D274" s="307" t="s">
        <v>386</v>
      </c>
      <c r="E274" s="403">
        <f>'G - General Pay Plan'!E86</f>
        <v>5469.7758333333331</v>
      </c>
      <c r="F274" s="403">
        <f>'G - General Pay Plan'!F86</f>
        <v>6508.7583333333341</v>
      </c>
      <c r="G274" s="403">
        <f>'G - General Pay Plan'!G86</f>
        <v>7547.7408333333333</v>
      </c>
      <c r="H274" s="307" t="s">
        <v>668</v>
      </c>
      <c r="I274" s="348">
        <f>'G - General Pay Plan'!$H$1</f>
        <v>2019</v>
      </c>
    </row>
    <row r="275" spans="1:9" x14ac:dyDescent="0.2">
      <c r="A275" s="307" t="str">
        <f>'G - General Pay Plan'!C241</f>
        <v>DNG214</v>
      </c>
      <c r="B275" t="str">
        <f>'G - General Pay Plan'!D241</f>
        <v>REAL PROPERTY MANAGER</v>
      </c>
      <c r="C275" s="307" t="str">
        <f>'G - General Pay Plan'!A219</f>
        <v>G30</v>
      </c>
      <c r="D275" s="66" t="s">
        <v>386</v>
      </c>
      <c r="E275" s="403">
        <f>'G - General Pay Plan'!E219</f>
        <v>7741.52</v>
      </c>
      <c r="F275" s="403">
        <f>'G - General Pay Plan'!F219</f>
        <v>9211.350833333332</v>
      </c>
      <c r="G275" s="403">
        <f>'G - General Pay Plan'!G219</f>
        <v>10681.181666666665</v>
      </c>
      <c r="H275" s="66" t="s">
        <v>668</v>
      </c>
      <c r="I275" s="348">
        <f>'G - General Pay Plan'!$H$1</f>
        <v>2019</v>
      </c>
    </row>
    <row r="276" spans="1:9" x14ac:dyDescent="0.2">
      <c r="A276" s="307" t="str">
        <f>'R-Rec Assts'!B3</f>
        <v>RNR701</v>
      </c>
      <c r="B276" t="str">
        <f>'R-Rec Assts'!C3</f>
        <v>RECREATION ASSISTANT 1</v>
      </c>
      <c r="C276" s="307" t="str">
        <f>'R-Rec Assts'!A3</f>
        <v>R01</v>
      </c>
      <c r="D276" s="307" t="s">
        <v>386</v>
      </c>
      <c r="E276" s="403">
        <f>'R-Rec Assts'!D3</f>
        <v>12</v>
      </c>
      <c r="F276" s="403">
        <f>'R-Rec Assts'!E3</f>
        <v>12</v>
      </c>
      <c r="G276" s="403">
        <f>'R-Rec Assts'!F3</f>
        <v>12</v>
      </c>
      <c r="H276" s="307" t="s">
        <v>669</v>
      </c>
      <c r="I276" s="347">
        <f>'R-Rec Assts'!$G$1</f>
        <v>2019</v>
      </c>
    </row>
    <row r="277" spans="1:9" x14ac:dyDescent="0.2">
      <c r="A277" s="307" t="str">
        <f>'R-Rec Assts'!B5</f>
        <v>RNR702</v>
      </c>
      <c r="B277" t="str">
        <f>'R-Rec Assts'!C5</f>
        <v>RECREATION ASSISTANT 2</v>
      </c>
      <c r="C277" s="307" t="str">
        <f>'R-Rec Assts'!A5</f>
        <v>R02</v>
      </c>
      <c r="D277" s="307" t="s">
        <v>386</v>
      </c>
      <c r="E277" s="403">
        <f>'R-Rec Assts'!D5</f>
        <v>12</v>
      </c>
      <c r="F277" s="403">
        <f>'R-Rec Assts'!E5</f>
        <v>12.1</v>
      </c>
      <c r="G277" s="403">
        <f>'R-Rec Assts'!F5</f>
        <v>12.2</v>
      </c>
      <c r="H277" s="307" t="s">
        <v>669</v>
      </c>
      <c r="I277" s="347">
        <f>'R-Rec Assts'!$G$1</f>
        <v>2019</v>
      </c>
    </row>
    <row r="278" spans="1:9" s="3" customFormat="1" x14ac:dyDescent="0.2">
      <c r="A278" s="307" t="str">
        <f>'R-Rec Assts'!B7</f>
        <v>RNR703</v>
      </c>
      <c r="B278" t="str">
        <f>'R-Rec Assts'!C7</f>
        <v>RECREATION ASSISTANT 3</v>
      </c>
      <c r="C278" s="307" t="str">
        <f>'R-Rec Assts'!A7</f>
        <v>R03</v>
      </c>
      <c r="D278" s="307" t="s">
        <v>386</v>
      </c>
      <c r="E278" s="403">
        <f>'R-Rec Assts'!D7</f>
        <v>12.5</v>
      </c>
      <c r="F278" s="403">
        <f>'R-Rec Assts'!E7</f>
        <v>17</v>
      </c>
      <c r="G278" s="403">
        <f>'R-Rec Assts'!F7</f>
        <v>21.5</v>
      </c>
      <c r="H278" s="307" t="s">
        <v>669</v>
      </c>
      <c r="I278" s="347">
        <f>'R-Rec Assts'!$G$1</f>
        <v>2019</v>
      </c>
    </row>
    <row r="279" spans="1:9" x14ac:dyDescent="0.2">
      <c r="A279" s="307" t="str">
        <f>'G - General Pay Plan'!C61</f>
        <v>RNG211</v>
      </c>
      <c r="B279" t="str">
        <f>'G - General Pay Plan'!D61</f>
        <v>RECREATION CENTER COORDINATOR</v>
      </c>
      <c r="C279" s="307" t="str">
        <f>'G - General Pay Plan'!A57</f>
        <v>G20</v>
      </c>
      <c r="D279" s="307" t="s">
        <v>386</v>
      </c>
      <c r="E279" s="403">
        <f>'G - General Pay Plan'!E57</f>
        <v>4712.5283333333327</v>
      </c>
      <c r="F279" s="403">
        <f>'G - General Pay Plan'!F57</f>
        <v>5608.5824999999995</v>
      </c>
      <c r="G279" s="403">
        <f>'G - General Pay Plan'!G57</f>
        <v>6504.6366666666663</v>
      </c>
      <c r="H279" s="307" t="s">
        <v>669</v>
      </c>
      <c r="I279" s="348">
        <f>'G - General Pay Plan'!$H$1</f>
        <v>2019</v>
      </c>
    </row>
    <row r="280" spans="1:9" x14ac:dyDescent="0.2">
      <c r="A280" s="307" t="str">
        <f>'G - General Pay Plan'!C19</f>
        <v>RNG301</v>
      </c>
      <c r="B280" t="str">
        <f>'G - General Pay Plan'!D19</f>
        <v>RECREATION PROGRAM AIDE</v>
      </c>
      <c r="C280" s="307" t="str">
        <f>'G - General Pay Plan'!A19</f>
        <v>G10</v>
      </c>
      <c r="D280" s="307" t="s">
        <v>386</v>
      </c>
      <c r="E280" s="403">
        <f>'G - General Pay Plan'!E19</f>
        <v>2870.9458333333332</v>
      </c>
      <c r="F280" s="403">
        <f>(E280+G280)/2</f>
        <v>3415.8616666666667</v>
      </c>
      <c r="G280" s="403">
        <f>'G - General Pay Plan'!G19</f>
        <v>3960.7775000000001</v>
      </c>
      <c r="H280" s="307" t="s">
        <v>669</v>
      </c>
      <c r="I280" s="348">
        <f>'G - General Pay Plan'!$H$1</f>
        <v>2019</v>
      </c>
    </row>
    <row r="281" spans="1:9" x14ac:dyDescent="0.2">
      <c r="A281" s="307" t="str">
        <f>'G - General Pay Plan'!C101</f>
        <v>RNG209</v>
      </c>
      <c r="B281" t="str">
        <f>'G - General Pay Plan'!D101</f>
        <v>RECREATION PROGRAM COORDINATOR</v>
      </c>
      <c r="C281" s="307" t="str">
        <f>'G - General Pay Plan'!A86</f>
        <v>G23</v>
      </c>
      <c r="D281" s="307" t="s">
        <v>386</v>
      </c>
      <c r="E281" s="403">
        <f>'G - General Pay Plan'!E86</f>
        <v>5469.7758333333331</v>
      </c>
      <c r="F281" s="403">
        <f>'G - General Pay Plan'!F86</f>
        <v>6508.7583333333341</v>
      </c>
      <c r="G281" s="403">
        <f>'G - General Pay Plan'!G86</f>
        <v>7547.7408333333333</v>
      </c>
      <c r="H281" s="307" t="s">
        <v>668</v>
      </c>
      <c r="I281" s="348">
        <f>'G - General Pay Plan'!$H$1</f>
        <v>2019</v>
      </c>
    </row>
    <row r="282" spans="1:9" x14ac:dyDescent="0.2">
      <c r="A282" s="307" t="str">
        <f>'G - General Pay Plan'!C35</f>
        <v>RNG303</v>
      </c>
      <c r="B282" t="str">
        <f>'G - General Pay Plan'!D35</f>
        <v>RECREATION PROGRAM TECHNICIAN</v>
      </c>
      <c r="C282" s="307" t="str">
        <f>'G - General Pay Plan'!A31</f>
        <v>G16</v>
      </c>
      <c r="D282" s="307" t="s">
        <v>386</v>
      </c>
      <c r="E282" s="403">
        <f>'G - General Pay Plan'!E31</f>
        <v>3864.5750000000003</v>
      </c>
      <c r="F282" s="404">
        <f>(E282+G282)/2</f>
        <v>4599.8345833333333</v>
      </c>
      <c r="G282" s="403">
        <f>'G - General Pay Plan'!G31</f>
        <v>5335.0941666666668</v>
      </c>
      <c r="H282" s="307" t="s">
        <v>669</v>
      </c>
      <c r="I282" s="348">
        <f>'G - General Pay Plan'!$H$1</f>
        <v>2019</v>
      </c>
    </row>
    <row r="283" spans="1:9" x14ac:dyDescent="0.2">
      <c r="A283" s="307" t="str">
        <f>'G - General Pay Plan'!C125</f>
        <v>RNG210</v>
      </c>
      <c r="B283" t="str">
        <f>'G - General Pay Plan'!D125</f>
        <v>RECREATION SUPERVISOR</v>
      </c>
      <c r="C283" s="307" t="str">
        <f>'G - General Pay Plan'!A106</f>
        <v>G24</v>
      </c>
      <c r="D283" s="307" t="s">
        <v>386</v>
      </c>
      <c r="E283" s="403">
        <f>'G - General Pay Plan'!E106</f>
        <v>5748.7624999999998</v>
      </c>
      <c r="F283" s="403">
        <f>'G - General Pay Plan'!F106</f>
        <v>6840.65625</v>
      </c>
      <c r="G283" s="403">
        <f>'G - General Pay Plan'!G106</f>
        <v>7932.55</v>
      </c>
      <c r="H283" s="307" t="s">
        <v>668</v>
      </c>
      <c r="I283" s="348">
        <f>'G - General Pay Plan'!$H$1</f>
        <v>2019</v>
      </c>
    </row>
    <row r="284" spans="1:9" x14ac:dyDescent="0.2">
      <c r="A284" s="307" t="str">
        <f>'G - General Pay Plan'!C267</f>
        <v>ENG212</v>
      </c>
      <c r="B284" t="str">
        <f>'G - General Pay Plan'!D267</f>
        <v>REGIONAL TRANSPORTATION PROJECTS MGR</v>
      </c>
      <c r="C284" s="307" t="str">
        <f>'G - General Pay Plan'!A262</f>
        <v>G32</v>
      </c>
      <c r="D284" s="307" t="s">
        <v>386</v>
      </c>
      <c r="E284" s="403">
        <f>'G - General Pay Plan'!E262</f>
        <v>8548.2433333333338</v>
      </c>
      <c r="F284" s="403">
        <f>'G - General Pay Plan'!F262</f>
        <v>10171.997083333334</v>
      </c>
      <c r="G284" s="403">
        <f>'G - General Pay Plan'!G262</f>
        <v>11795.750833333334</v>
      </c>
      <c r="H284" s="307" t="s">
        <v>668</v>
      </c>
      <c r="I284" s="348">
        <f>'G - General Pay Plan'!$H$1</f>
        <v>2019</v>
      </c>
    </row>
    <row r="285" spans="1:9" x14ac:dyDescent="0.2">
      <c r="A285" s="67" t="str">
        <f>'W - Bldg Div Sups (rep)'!C3</f>
        <v>JRW201</v>
      </c>
      <c r="B285" t="str">
        <f>'W - Bldg Div Sups (rep)'!D3</f>
        <v>REVIEW &amp; INSPECTION SUPERVISOR</v>
      </c>
      <c r="C285" s="67" t="str">
        <f>'W - Bldg Div Sups (rep)'!A3</f>
        <v>W01</v>
      </c>
      <c r="D285" s="67">
        <v>4</v>
      </c>
      <c r="E285" s="68">
        <f>'W - Bldg Div Sups (rep)'!E3</f>
        <v>8270.2999999999993</v>
      </c>
      <c r="F285" s="68">
        <f>(E285+G285)/2</f>
        <v>8922.1049999999996</v>
      </c>
      <c r="G285" s="68">
        <f>'W - Bldg Div Sups (rep)'!H3</f>
        <v>9573.91</v>
      </c>
      <c r="H285" s="67" t="s">
        <v>668</v>
      </c>
      <c r="I285" s="347">
        <f>'W - Bldg Div Sups (rep)'!I1</f>
        <v>2019</v>
      </c>
    </row>
    <row r="286" spans="1:9" x14ac:dyDescent="0.2">
      <c r="A286" s="307" t="str">
        <f>'G - General Pay Plan'!C268</f>
        <v>ENG219</v>
      </c>
      <c r="B286" t="str">
        <f>'G - General Pay Plan'!D268</f>
        <v>RIGHT OF WAY MANAGER</v>
      </c>
      <c r="C286" s="307" t="str">
        <f>'G - General Pay Plan'!A262</f>
        <v>G32</v>
      </c>
      <c r="D286" s="41" t="s">
        <v>386</v>
      </c>
      <c r="E286" s="403">
        <f>'G - General Pay Plan'!E262</f>
        <v>8548.2433333333338</v>
      </c>
      <c r="F286" s="403">
        <f>'G - General Pay Plan'!F262</f>
        <v>10171.997083333334</v>
      </c>
      <c r="G286" s="403">
        <f>'G - General Pay Plan'!G262</f>
        <v>11795.750833333334</v>
      </c>
      <c r="H286" s="41" t="s">
        <v>668</v>
      </c>
      <c r="I286" s="348">
        <f>'G - General Pay Plan'!$H$1</f>
        <v>2019</v>
      </c>
    </row>
    <row r="287" spans="1:9" x14ac:dyDescent="0.2">
      <c r="A287" s="307" t="str">
        <f>'G - General Pay Plan'!C182</f>
        <v>DNG217</v>
      </c>
      <c r="B287" t="str">
        <f>'G - General Pay Plan'!D182</f>
        <v>RIGHT OF WAY SUPERVISOR</v>
      </c>
      <c r="C287" s="307" t="str">
        <f>'G - General Pay Plan'!A169</f>
        <v>G27</v>
      </c>
      <c r="D287" s="307" t="s">
        <v>386</v>
      </c>
      <c r="E287" s="403">
        <f>'G - General Pay Plan'!E169</f>
        <v>6670.9283333333333</v>
      </c>
      <c r="F287" s="403">
        <f>'G - General Pay Plan'!F169</f>
        <v>7938.0475000000006</v>
      </c>
      <c r="G287" s="403">
        <f>'G - General Pay Plan'!G169</f>
        <v>9205.1666666666661</v>
      </c>
      <c r="H287" s="307" t="s">
        <v>668</v>
      </c>
      <c r="I287" s="348">
        <f>'G - General Pay Plan'!$H$1</f>
        <v>2019</v>
      </c>
    </row>
    <row r="288" spans="1:9" x14ac:dyDescent="0.2">
      <c r="A288" s="307" t="str">
        <f>'G - General Pay Plan'!C126</f>
        <v>LNG206</v>
      </c>
      <c r="B288" t="str">
        <f>'G - General Pay Plan'!D126</f>
        <v>RISK MANAGEMENT SPECIALIST</v>
      </c>
      <c r="C288" s="307" t="str">
        <f>'G - General Pay Plan'!A106</f>
        <v>G24</v>
      </c>
      <c r="D288" s="307" t="s">
        <v>386</v>
      </c>
      <c r="E288" s="403">
        <f>'G - General Pay Plan'!E106</f>
        <v>5748.7624999999998</v>
      </c>
      <c r="F288" s="403">
        <f>'G - General Pay Plan'!F106</f>
        <v>6840.65625</v>
      </c>
      <c r="G288" s="403">
        <f>'G - General Pay Plan'!G106</f>
        <v>7932.55</v>
      </c>
      <c r="H288" s="307" t="s">
        <v>668</v>
      </c>
      <c r="I288" s="348">
        <f>'G - General Pay Plan'!$H$1</f>
        <v>2019</v>
      </c>
    </row>
    <row r="289" spans="1:9" x14ac:dyDescent="0.2">
      <c r="A289" s="307" t="str">
        <f>'G - General Pay Plan'!C242</f>
        <v>LNG208</v>
      </c>
      <c r="B289" t="str">
        <f>'G - General Pay Plan'!D242</f>
        <v>RISK MANAGER</v>
      </c>
      <c r="C289" s="66" t="s">
        <v>73</v>
      </c>
      <c r="D289" s="66" t="s">
        <v>386</v>
      </c>
      <c r="E289" s="403">
        <f>'G - General Pay Plan'!E219</f>
        <v>7741.52</v>
      </c>
      <c r="F289" s="403">
        <f>'G - General Pay Plan'!F219</f>
        <v>9211.350833333332</v>
      </c>
      <c r="G289" s="403">
        <f>'G - General Pay Plan'!G219</f>
        <v>10681.181666666665</v>
      </c>
      <c r="H289" s="66" t="s">
        <v>668</v>
      </c>
      <c r="I289" s="348">
        <f>'G - General Pay Plan'!$H$1</f>
        <v>2019</v>
      </c>
    </row>
    <row r="290" spans="1:9" x14ac:dyDescent="0.2">
      <c r="A290" s="307" t="str">
        <f>'G - General Pay Plan'!C202</f>
        <v>ENG220</v>
      </c>
      <c r="B290" t="str">
        <f>'G - General Pay Plan'!D202</f>
        <v>SCADA &amp; OPERATIONS SUPERVISOR</v>
      </c>
      <c r="C290" s="307" t="str">
        <f>'G - General Pay Plan'!A192</f>
        <v>G28</v>
      </c>
      <c r="D290" s="307" t="s">
        <v>386</v>
      </c>
      <c r="E290" s="403">
        <f>'G - General Pay Plan'!E192</f>
        <v>7010.3841666666667</v>
      </c>
      <c r="F290" s="403">
        <f>(E290+G290)/2</f>
        <v>8341.4087499999987</v>
      </c>
      <c r="G290" s="403">
        <f>'G - General Pay Plan'!G192</f>
        <v>9672.4333333333325</v>
      </c>
      <c r="H290" s="307" t="s">
        <v>668</v>
      </c>
      <c r="I290" s="348">
        <f>'G - General Pay Plan'!$H$1</f>
        <v>2019</v>
      </c>
    </row>
    <row r="291" spans="1:9" x14ac:dyDescent="0.2">
      <c r="A291" s="307" t="str">
        <f>'G - General Pay Plan'!C45</f>
        <v>BNG502</v>
      </c>
      <c r="B291" t="str">
        <f>'G - General Pay Plan'!D45</f>
        <v>SENIOR ACCOUNTING ASSOCIATE</v>
      </c>
      <c r="C291" s="307" t="str">
        <f>'G - General Pay Plan'!A43</f>
        <v>G18</v>
      </c>
      <c r="D291" s="307" t="s">
        <v>386</v>
      </c>
      <c r="E291" s="403">
        <f>'G - General Pay Plan'!E43</f>
        <v>4267.25</v>
      </c>
      <c r="F291" s="403">
        <f>(E291+G291)/2</f>
        <v>5078.0962500000005</v>
      </c>
      <c r="G291" s="403">
        <f>'G - General Pay Plan'!G43</f>
        <v>5888.9425000000001</v>
      </c>
      <c r="H291" s="307" t="s">
        <v>669</v>
      </c>
      <c r="I291" s="348">
        <f>'G - General Pay Plan'!$H$1</f>
        <v>2019</v>
      </c>
    </row>
    <row r="292" spans="1:9" x14ac:dyDescent="0.2">
      <c r="A292" s="307" t="str">
        <f>'G - General Pay Plan'!C62</f>
        <v>ANG602</v>
      </c>
      <c r="B292" t="str">
        <f>'G - General Pay Plan'!D62</f>
        <v>SENIOR ADMINISTRATIVE ASSISTANT</v>
      </c>
      <c r="C292" s="307" t="str">
        <f>'G - General Pay Plan'!A57</f>
        <v>G20</v>
      </c>
      <c r="D292" s="307" t="s">
        <v>386</v>
      </c>
      <c r="E292" s="403">
        <f>'G - General Pay Plan'!E57</f>
        <v>4712.5283333333327</v>
      </c>
      <c r="F292" s="403">
        <f>'G - General Pay Plan'!F57</f>
        <v>5608.5824999999995</v>
      </c>
      <c r="G292" s="403">
        <f>'G - General Pay Plan'!G57</f>
        <v>6504.6366666666663</v>
      </c>
      <c r="H292" s="307" t="s">
        <v>669</v>
      </c>
      <c r="I292" s="348">
        <f>'G - General Pay Plan'!$H$1</f>
        <v>2019</v>
      </c>
    </row>
    <row r="293" spans="1:9" x14ac:dyDescent="0.2">
      <c r="A293" s="307" t="str">
        <f>'G - General Pay Plan'!C278</f>
        <v>LNG205</v>
      </c>
      <c r="B293" t="str">
        <f>'G - General Pay Plan'!D278</f>
        <v>SENIOR ATTORNEY</v>
      </c>
      <c r="C293" s="307" t="str">
        <f>'G - General Pay Plan'!A271</f>
        <v>G33</v>
      </c>
      <c r="D293" s="307" t="s">
        <v>386</v>
      </c>
      <c r="E293" s="403">
        <f>'G - General Pay Plan'!E271</f>
        <v>8981.1525000000001</v>
      </c>
      <c r="F293" s="403">
        <f>'G - General Pay Plan'!F271</f>
        <v>10689.426666666666</v>
      </c>
      <c r="G293" s="403">
        <f>'G - General Pay Plan'!G271</f>
        <v>12397.700833333334</v>
      </c>
      <c r="H293" s="307" t="s">
        <v>668</v>
      </c>
      <c r="I293" s="348">
        <f>'G - General Pay Plan'!$H$1</f>
        <v>2019</v>
      </c>
    </row>
    <row r="294" spans="1:9" x14ac:dyDescent="0.2">
      <c r="A294" s="307" t="str">
        <f>'G - General Pay Plan'!C164</f>
        <v>BNG204</v>
      </c>
      <c r="B294" t="str">
        <f>'G - General Pay Plan'!D164</f>
        <v>SENIOR BUDGET ANALYST</v>
      </c>
      <c r="C294" s="307" t="str">
        <f>'G - General Pay Plan'!A146</f>
        <v>G26</v>
      </c>
      <c r="D294" s="307" t="s">
        <v>386</v>
      </c>
      <c r="E294" s="403">
        <f>'G - General Pay Plan'!E146</f>
        <v>6347.9633333333331</v>
      </c>
      <c r="F294" s="403">
        <f>'G - General Pay Plan'!F146</f>
        <v>7553.2383333333337</v>
      </c>
      <c r="G294" s="403">
        <f>'G - General Pay Plan'!G146</f>
        <v>8758.5133333333342</v>
      </c>
      <c r="H294" s="307" t="s">
        <v>668</v>
      </c>
      <c r="I294" s="348">
        <f>'G - General Pay Plan'!$H$1</f>
        <v>2019</v>
      </c>
    </row>
    <row r="295" spans="1:9" x14ac:dyDescent="0.2">
      <c r="A295" s="307" t="str">
        <f>'G - General Pay Plan'!C165</f>
        <v>ANG219</v>
      </c>
      <c r="B295" t="str">
        <f>'G - General Pay Plan'!D165</f>
        <v>SENIOR BUSINESS PROCESS ANALYST</v>
      </c>
      <c r="C295" s="307" t="str">
        <f>'G - General Pay Plan'!A146</f>
        <v>G26</v>
      </c>
      <c r="D295" s="41" t="s">
        <v>386</v>
      </c>
      <c r="E295" s="403">
        <f>'G - General Pay Plan'!E146</f>
        <v>6347.9633333333331</v>
      </c>
      <c r="F295" s="403">
        <f>'G - General Pay Plan'!F146</f>
        <v>7553.2383333333337</v>
      </c>
      <c r="G295" s="403">
        <f>'G - General Pay Plan'!G146</f>
        <v>8758.5133333333342</v>
      </c>
      <c r="H295" s="41" t="s">
        <v>668</v>
      </c>
      <c r="I295" s="348">
        <f>'G - General Pay Plan'!$H$1</f>
        <v>2019</v>
      </c>
    </row>
    <row r="296" spans="1:9" x14ac:dyDescent="0.2">
      <c r="A296" s="307" t="str">
        <f>'G - General Pay Plan'!C127</f>
        <v>JNG302</v>
      </c>
      <c r="B296" t="str">
        <f>'G - General Pay Plan'!D127</f>
        <v>SENIOR CONSTRUCTION PROJECT INSPECTOR</v>
      </c>
      <c r="C296" s="307" t="str">
        <f>'G - General Pay Plan'!A106</f>
        <v>G24</v>
      </c>
      <c r="D296" s="307" t="s">
        <v>386</v>
      </c>
      <c r="E296" s="403">
        <f>'G - General Pay Plan'!E106</f>
        <v>5748.7624999999998</v>
      </c>
      <c r="F296" s="403">
        <f>'G - General Pay Plan'!F106</f>
        <v>6840.65625</v>
      </c>
      <c r="G296" s="403">
        <f>'G - General Pay Plan'!G106</f>
        <v>7932.55</v>
      </c>
      <c r="H296" s="307" t="s">
        <v>669</v>
      </c>
      <c r="I296" s="348">
        <f>'G - General Pay Plan'!$H$1</f>
        <v>2019</v>
      </c>
    </row>
    <row r="297" spans="1:9" x14ac:dyDescent="0.2">
      <c r="A297" s="307" t="str">
        <f>'G - General Pay Plan'!C215</f>
        <v>ENG202</v>
      </c>
      <c r="B297" t="str">
        <f>'G - General Pay Plan'!D215</f>
        <v>SENIOR ENGINEER, TRANSPORTATION</v>
      </c>
      <c r="C297" s="307" t="str">
        <f>'G - General Pay Plan'!A207</f>
        <v>G29</v>
      </c>
      <c r="D297" s="307" t="s">
        <v>386</v>
      </c>
      <c r="E297" s="403">
        <f>'G - General Pay Plan'!E207</f>
        <v>7364.956666666666</v>
      </c>
      <c r="F297" s="403">
        <f>'G - General Pay Plan'!F207</f>
        <v>8765.3845833333326</v>
      </c>
      <c r="G297" s="403">
        <f>'G - General Pay Plan'!G207</f>
        <v>10165.8125</v>
      </c>
      <c r="H297" s="307" t="s">
        <v>668</v>
      </c>
      <c r="I297" s="348">
        <f>'G - General Pay Plan'!$H$1</f>
        <v>2019</v>
      </c>
    </row>
    <row r="298" spans="1:9" x14ac:dyDescent="0.2">
      <c r="A298" s="307" t="str">
        <f>'G - General Pay Plan'!C216</f>
        <v>ENG204</v>
      </c>
      <c r="B298" t="str">
        <f>'G - General Pay Plan'!D216</f>
        <v>SENIOR ENGINEER, UTILITIES</v>
      </c>
      <c r="C298" s="307" t="str">
        <f>'G - General Pay Plan'!A207</f>
        <v>G29</v>
      </c>
      <c r="D298" s="307" t="s">
        <v>386</v>
      </c>
      <c r="E298" s="403">
        <f>'G - General Pay Plan'!E207</f>
        <v>7364.956666666666</v>
      </c>
      <c r="F298" s="403">
        <f>'G - General Pay Plan'!F207</f>
        <v>8765.3845833333326</v>
      </c>
      <c r="G298" s="403">
        <f>'G - General Pay Plan'!G207</f>
        <v>10165.8125</v>
      </c>
      <c r="H298" s="307" t="s">
        <v>668</v>
      </c>
      <c r="I298" s="348">
        <f>'G - General Pay Plan'!$H$1</f>
        <v>2019</v>
      </c>
    </row>
    <row r="299" spans="1:9" x14ac:dyDescent="0.2">
      <c r="A299" s="307" t="str">
        <f>'G - General Pay Plan'!C128</f>
        <v>ENG208</v>
      </c>
      <c r="B299" t="str">
        <f>'G - General Pay Plan'!D128</f>
        <v>SENIOR ENGINEERING TECHNICIAN</v>
      </c>
      <c r="C299" s="307" t="str">
        <f>'G - General Pay Plan'!A106</f>
        <v>G24</v>
      </c>
      <c r="D299" s="307" t="s">
        <v>386</v>
      </c>
      <c r="E299" s="403">
        <f>'G - General Pay Plan'!E106</f>
        <v>5748.7624999999998</v>
      </c>
      <c r="F299" s="403">
        <f>'G - General Pay Plan'!F106</f>
        <v>6840.65625</v>
      </c>
      <c r="G299" s="403">
        <f>'G - General Pay Plan'!G106</f>
        <v>7932.55</v>
      </c>
      <c r="H299" s="307" t="s">
        <v>669</v>
      </c>
      <c r="I299" s="348">
        <f>'G - General Pay Plan'!$H$1</f>
        <v>2019</v>
      </c>
    </row>
    <row r="300" spans="1:9" s="3" customFormat="1" x14ac:dyDescent="0.2">
      <c r="A300" s="307" t="str">
        <f>'G - General Pay Plan'!C183</f>
        <v>DNG205</v>
      </c>
      <c r="B300" t="str">
        <f>'G - General Pay Plan'!D183</f>
        <v>SENIOR FACILITIES PLANNING COORDINATOR</v>
      </c>
      <c r="C300" s="307" t="str">
        <f>'G - General Pay Plan'!A169</f>
        <v>G27</v>
      </c>
      <c r="D300" s="307" t="s">
        <v>386</v>
      </c>
      <c r="E300" s="403">
        <f>'G - General Pay Plan'!E169</f>
        <v>6670.9283333333333</v>
      </c>
      <c r="F300" s="403">
        <f>'G - General Pay Plan'!F169</f>
        <v>7938.0475000000006</v>
      </c>
      <c r="G300" s="403">
        <f>'G - General Pay Plan'!G169</f>
        <v>9205.1666666666661</v>
      </c>
      <c r="H300" s="307" t="s">
        <v>668</v>
      </c>
      <c r="I300" s="348">
        <f>'G - General Pay Plan'!$H$1</f>
        <v>2019</v>
      </c>
    </row>
    <row r="301" spans="1:9" s="3" customFormat="1" x14ac:dyDescent="0.2">
      <c r="A301" s="307" t="str">
        <f>'G - General Pay Plan'!C129</f>
        <v>BNG208</v>
      </c>
      <c r="B301" t="str">
        <f>'G - General Pay Plan'!D129</f>
        <v>SENIOR FINANCIAL ANALYST</v>
      </c>
      <c r="C301" s="307" t="str">
        <f>'G - General Pay Plan'!A106</f>
        <v>G24</v>
      </c>
      <c r="D301" s="307" t="s">
        <v>386</v>
      </c>
      <c r="E301" s="403">
        <f>'G - General Pay Plan'!E106</f>
        <v>5748.7624999999998</v>
      </c>
      <c r="F301" s="403">
        <f>'G - General Pay Plan'!F106</f>
        <v>6840.65625</v>
      </c>
      <c r="G301" s="403">
        <f>'G - General Pay Plan'!G106</f>
        <v>7932.55</v>
      </c>
      <c r="H301" s="307" t="s">
        <v>668</v>
      </c>
      <c r="I301" s="348">
        <f>'G - General Pay Plan'!$H$1</f>
        <v>2019</v>
      </c>
    </row>
    <row r="302" spans="1:9" s="3" customFormat="1" x14ac:dyDescent="0.2">
      <c r="A302" s="307" t="str">
        <f>'G - General Pay Plan'!C166</f>
        <v>HNG206</v>
      </c>
      <c r="B302" t="str">
        <f>'G - General Pay Plan'!D166</f>
        <v>SENIOR HUMAN RESOURCES ANALYST</v>
      </c>
      <c r="C302" s="307" t="str">
        <f>'G - General Pay Plan'!A146</f>
        <v>G26</v>
      </c>
      <c r="D302" s="307" t="s">
        <v>386</v>
      </c>
      <c r="E302" s="403">
        <f>'G - General Pay Plan'!E146</f>
        <v>6347.9633333333331</v>
      </c>
      <c r="F302" s="403">
        <f>'G - General Pay Plan'!F146</f>
        <v>7553.2383333333337</v>
      </c>
      <c r="G302" s="403">
        <f>'G - General Pay Plan'!G146</f>
        <v>8758.5133333333342</v>
      </c>
      <c r="H302" s="307" t="s">
        <v>668</v>
      </c>
      <c r="I302" s="348">
        <f>'G - General Pay Plan'!$H$1</f>
        <v>2019</v>
      </c>
    </row>
    <row r="303" spans="1:9" s="3" customFormat="1" x14ac:dyDescent="0.2">
      <c r="A303" s="307" t="str">
        <f>'G - General Pay Plan'!C184</f>
        <v>DNG210</v>
      </c>
      <c r="B303" t="str">
        <f>'G - General Pay Plan'!D184</f>
        <v>SENIOR LAND USE PROFESSIONAL</v>
      </c>
      <c r="C303" s="307" t="str">
        <f>'G - General Pay Plan'!A169</f>
        <v>G27</v>
      </c>
      <c r="D303" s="307" t="s">
        <v>386</v>
      </c>
      <c r="E303" s="403">
        <f>'G - General Pay Plan'!E169</f>
        <v>6670.9283333333333</v>
      </c>
      <c r="F303" s="403">
        <f>'G - General Pay Plan'!F169</f>
        <v>7938.0475000000006</v>
      </c>
      <c r="G303" s="403">
        <f>'G - General Pay Plan'!G169</f>
        <v>9205.1666666666661</v>
      </c>
      <c r="H303" s="307" t="s">
        <v>668</v>
      </c>
      <c r="I303" s="348">
        <f>'G - General Pay Plan'!$H$1</f>
        <v>2019</v>
      </c>
    </row>
    <row r="304" spans="1:9" s="3" customFormat="1" x14ac:dyDescent="0.2">
      <c r="A304" s="307" t="str">
        <f>'G - General Pay Plan'!C36</f>
        <v>ANG606</v>
      </c>
      <c r="B304" t="str">
        <f>'G - General Pay Plan'!D36</f>
        <v>SENIOR OFFICE ASSISTANT</v>
      </c>
      <c r="C304" s="307" t="str">
        <f>'G - General Pay Plan'!A31</f>
        <v>G16</v>
      </c>
      <c r="D304" s="307" t="s">
        <v>386</v>
      </c>
      <c r="E304" s="403">
        <f>'G - General Pay Plan'!E31</f>
        <v>3864.5750000000003</v>
      </c>
      <c r="F304" s="404">
        <f>(E304+G304)/2</f>
        <v>4599.8345833333333</v>
      </c>
      <c r="G304" s="403">
        <f>'G - General Pay Plan'!G31</f>
        <v>5335.0941666666668</v>
      </c>
      <c r="H304" s="307" t="s">
        <v>669</v>
      </c>
      <c r="I304" s="348">
        <f>'G - General Pay Plan'!$H$1</f>
        <v>2019</v>
      </c>
    </row>
    <row r="305" spans="1:9" s="3" customFormat="1" x14ac:dyDescent="0.2">
      <c r="A305" s="307" t="str">
        <f>'G - General Pay Plan'!C185</f>
        <v>DNG212</v>
      </c>
      <c r="B305" t="str">
        <f>'G - General Pay Plan'!D185</f>
        <v>SENIOR PLANNER</v>
      </c>
      <c r="C305" s="307" t="str">
        <f>'G - General Pay Plan'!A169</f>
        <v>G27</v>
      </c>
      <c r="D305" s="307" t="s">
        <v>386</v>
      </c>
      <c r="E305" s="403">
        <f>'G - General Pay Plan'!E169</f>
        <v>6670.9283333333333</v>
      </c>
      <c r="F305" s="403">
        <f>'G - General Pay Plan'!F169</f>
        <v>7938.0475000000006</v>
      </c>
      <c r="G305" s="403">
        <f>'G - General Pay Plan'!G169</f>
        <v>9205.1666666666661</v>
      </c>
      <c r="H305" s="307" t="s">
        <v>668</v>
      </c>
      <c r="I305" s="348">
        <f>'G - General Pay Plan'!$H$1</f>
        <v>2019</v>
      </c>
    </row>
    <row r="306" spans="1:9" s="3" customFormat="1" x14ac:dyDescent="0.2">
      <c r="A306" s="307" t="str">
        <f>'G - General Pay Plan'!C186</f>
        <v>DNG216</v>
      </c>
      <c r="B306" t="str">
        <f>'G - General Pay Plan'!D186</f>
        <v>SENIOR REAL PROPERTY AGENT</v>
      </c>
      <c r="C306" s="307" t="str">
        <f>'G - General Pay Plan'!A169</f>
        <v>G27</v>
      </c>
      <c r="D306" s="307" t="s">
        <v>386</v>
      </c>
      <c r="E306" s="403">
        <f>'G - General Pay Plan'!E169</f>
        <v>6670.9283333333333</v>
      </c>
      <c r="F306" s="403">
        <f>'G - General Pay Plan'!F169</f>
        <v>7938.0475000000006</v>
      </c>
      <c r="G306" s="403">
        <f>'G - General Pay Plan'!G169</f>
        <v>9205.1666666666661</v>
      </c>
      <c r="H306" s="307" t="s">
        <v>668</v>
      </c>
      <c r="I306" s="348">
        <f>'G - General Pay Plan'!$H$1</f>
        <v>2019</v>
      </c>
    </row>
    <row r="307" spans="1:9" s="3" customFormat="1" x14ac:dyDescent="0.2">
      <c r="A307" s="307" t="str">
        <f>'G - General Pay Plan'!C188</f>
        <v>DNG232</v>
      </c>
      <c r="B307" t="str">
        <f>'G - General Pay Plan'!D188</f>
        <v>SENIOR TRANSPORTATION ANALYST</v>
      </c>
      <c r="C307" s="307" t="str">
        <f>'G - General Pay Plan'!A169</f>
        <v>G27</v>
      </c>
      <c r="D307" s="307" t="s">
        <v>386</v>
      </c>
      <c r="E307" s="403">
        <f>'G - General Pay Plan'!E169</f>
        <v>6670.9283333333333</v>
      </c>
      <c r="F307" s="403">
        <f>'G - General Pay Plan'!F169</f>
        <v>7938.0475000000006</v>
      </c>
      <c r="G307" s="403">
        <f>'G - General Pay Plan'!G169</f>
        <v>9205.1666666666661</v>
      </c>
      <c r="H307" s="307" t="s">
        <v>668</v>
      </c>
      <c r="I307" s="348">
        <f>'G - General Pay Plan'!$H$1</f>
        <v>2019</v>
      </c>
    </row>
    <row r="308" spans="1:9" s="3" customFormat="1" x14ac:dyDescent="0.2">
      <c r="A308" s="307" t="str">
        <f>'G - General Pay Plan'!C187</f>
        <v>DNG229</v>
      </c>
      <c r="B308" s="71" t="str">
        <f>'G - General Pay Plan'!D187</f>
        <v>SENIOR UTILITIES REVIEW PROFESSIONAL</v>
      </c>
      <c r="C308" s="307" t="str">
        <f>'G - General Pay Plan'!A169</f>
        <v>G27</v>
      </c>
      <c r="D308" s="66" t="s">
        <v>386</v>
      </c>
      <c r="E308" s="403">
        <f>'G - General Pay Plan'!E169</f>
        <v>6670.9283333333333</v>
      </c>
      <c r="F308" s="403">
        <f>'G - General Pay Plan'!F169</f>
        <v>7938.0475000000006</v>
      </c>
      <c r="G308" s="403">
        <f>'G - General Pay Plan'!G169</f>
        <v>9205.1666666666661</v>
      </c>
      <c r="H308" s="66" t="s">
        <v>668</v>
      </c>
      <c r="I308" s="348">
        <f>'G - General Pay Plan'!$H$1</f>
        <v>2019</v>
      </c>
    </row>
    <row r="309" spans="1:9" s="3" customFormat="1" x14ac:dyDescent="0.2">
      <c r="A309" s="307" t="str">
        <f>'G - General Pay Plan'!C55</f>
        <v>ANG608</v>
      </c>
      <c r="B309" t="str">
        <f>'G - General Pay Plan'!D55</f>
        <v>SERVICE FIRST COORDINATOR</v>
      </c>
      <c r="C309" s="307" t="str">
        <f>'G - General Pay Plan'!A48</f>
        <v>G19</v>
      </c>
      <c r="D309" s="307" t="s">
        <v>386</v>
      </c>
      <c r="E309" s="403">
        <f>'G - General Pay Plan'!E48</f>
        <v>4485.7666666666664</v>
      </c>
      <c r="F309" s="403">
        <f t="shared" ref="F309:F315" si="2">(E309+G309)/2</f>
        <v>5337.1550000000007</v>
      </c>
      <c r="G309" s="403">
        <f>'G - General Pay Plan'!G48</f>
        <v>6188.543333333334</v>
      </c>
      <c r="H309" s="307" t="s">
        <v>669</v>
      </c>
      <c r="I309" s="348">
        <f>'G - General Pay Plan'!$H$1</f>
        <v>2019</v>
      </c>
    </row>
    <row r="310" spans="1:9" s="3" customFormat="1" x14ac:dyDescent="0.2">
      <c r="A310" s="67" t="str">
        <f>'I -Signals &amp; Electronics (rep)'!B3</f>
        <v>MRI302</v>
      </c>
      <c r="B310" t="str">
        <f>'I -Signals &amp; Electronics (rep)'!C3</f>
        <v>SIGNAL ASSISTANT</v>
      </c>
      <c r="C310" s="67" t="str">
        <f>'I -Signals &amp; Electronics (rep)'!A3</f>
        <v>I01</v>
      </c>
      <c r="D310" s="67">
        <v>6</v>
      </c>
      <c r="E310" s="68">
        <f>'I -Signals &amp; Electronics (rep)'!D3</f>
        <v>4092.0903330216001</v>
      </c>
      <c r="F310" s="68">
        <f t="shared" si="2"/>
        <v>4657.255391151999</v>
      </c>
      <c r="G310" s="68">
        <f>'I -Signals &amp; Electronics (rep)'!I3</f>
        <v>5222.4204492823983</v>
      </c>
      <c r="H310" s="67" t="s">
        <v>669</v>
      </c>
      <c r="I310" s="347">
        <f>'I -Signals &amp; Electronics (rep)'!J1</f>
        <v>2018</v>
      </c>
    </row>
    <row r="311" spans="1:9" s="3" customFormat="1" x14ac:dyDescent="0.2">
      <c r="A311" s="67" t="str">
        <f>'I -Signals &amp; Electronics (rep)'!B16</f>
        <v>MRI303</v>
      </c>
      <c r="B311" t="str">
        <f>'I -Signals &amp; Electronics (rep)'!C16</f>
        <v>SIGNAL ELECTRICIAN</v>
      </c>
      <c r="C311" s="67" t="str">
        <f>'I -Signals &amp; Electronics (rep)'!A15</f>
        <v>I04</v>
      </c>
      <c r="D311" s="67">
        <v>6</v>
      </c>
      <c r="E311" s="68">
        <f>'I -Signals &amp; Electronics (rep)'!D15</f>
        <v>5845.843332888001</v>
      </c>
      <c r="F311" s="68">
        <f t="shared" si="2"/>
        <v>6653.2219873600006</v>
      </c>
      <c r="G311" s="68">
        <f>'I -Signals &amp; Electronics (rep)'!I15</f>
        <v>7460.6006418319994</v>
      </c>
      <c r="H311" s="67" t="s">
        <v>669</v>
      </c>
      <c r="I311" s="347">
        <f>'I -Signals &amp; Electronics (rep)'!J1</f>
        <v>2018</v>
      </c>
    </row>
    <row r="312" spans="1:9" s="3" customFormat="1" x14ac:dyDescent="0.2">
      <c r="A312" s="67" t="str">
        <f>'I -Signals &amp; Electronics (rep)'!B11</f>
        <v>MRI801</v>
      </c>
      <c r="B312" t="str">
        <f>'I -Signals &amp; Electronics (rep)'!C11</f>
        <v>SIGNAL REPAIR SPECIALIST</v>
      </c>
      <c r="C312" s="67" t="str">
        <f>'I -Signals &amp; Electronics (rep)'!A11</f>
        <v>I03</v>
      </c>
      <c r="D312" s="67">
        <v>6</v>
      </c>
      <c r="E312" s="68">
        <f>'I -Signals &amp; Electronics (rep)'!D11</f>
        <v>4968.9668329548003</v>
      </c>
      <c r="F312" s="68">
        <f t="shared" si="2"/>
        <v>5655.2386892560007</v>
      </c>
      <c r="G312" s="68">
        <f>'I -Signals &amp; Electronics (rep)'!I11</f>
        <v>6341.5105455572002</v>
      </c>
      <c r="H312" s="67" t="s">
        <v>669</v>
      </c>
      <c r="I312" s="347">
        <f>'I -Signals &amp; Electronics (rep)'!J1</f>
        <v>2018</v>
      </c>
    </row>
    <row r="313" spans="1:9" s="3" customFormat="1" x14ac:dyDescent="0.2">
      <c r="A313" s="156" t="str">
        <f>'B- Parks,Util,CS, Trans (rep)'!B28</f>
        <v>MRB706</v>
      </c>
      <c r="B313" s="4" t="str">
        <f>'B- Parks,Util,CS, Trans (rep)'!C28</f>
        <v>SKILLED WORKER</v>
      </c>
      <c r="C313" s="156" t="str">
        <f>'B- Parks,Util,CS, Trans (rep)'!A27</f>
        <v>B31</v>
      </c>
      <c r="D313" s="156">
        <v>6</v>
      </c>
      <c r="E313" s="405">
        <f>'B- Parks,Util,CS, Trans (rep)'!D27</f>
        <v>4502.2471796119999</v>
      </c>
      <c r="F313" s="405">
        <f t="shared" si="2"/>
        <v>5080.2925932199996</v>
      </c>
      <c r="G313" s="405">
        <f>'B- Parks,Util,CS, Trans (rep)'!I27</f>
        <v>5658.3380068279994</v>
      </c>
      <c r="H313" s="156" t="s">
        <v>669</v>
      </c>
      <c r="I313" s="347">
        <f>'B- Parks,Util,CS, Trans (rep)'!$K$1</f>
        <v>2018</v>
      </c>
    </row>
    <row r="314" spans="1:9" s="3" customFormat="1" x14ac:dyDescent="0.2">
      <c r="A314" s="156" t="str">
        <f>'B- Parks,Util,CS, Trans (rep)'!B31</f>
        <v>MRB707</v>
      </c>
      <c r="B314" s="4" t="str">
        <f>'B- Parks,Util,CS, Trans (rep)'!C31</f>
        <v>STRUCTURAL MAINT SPEC 1</v>
      </c>
      <c r="C314" s="156" t="str">
        <f>'B- Parks,Util,CS, Trans (rep)'!A31</f>
        <v>B35</v>
      </c>
      <c r="D314" s="156">
        <v>6</v>
      </c>
      <c r="E314" s="405">
        <f>'B- Parks,Util,CS, Trans (rep)'!D31</f>
        <v>4503.2396210619991</v>
      </c>
      <c r="F314" s="405">
        <f t="shared" si="2"/>
        <v>5081.7629583629996</v>
      </c>
      <c r="G314" s="405">
        <f>'B- Parks,Util,CS, Trans (rep)'!I31</f>
        <v>5660.2862956640001</v>
      </c>
      <c r="H314" s="156" t="s">
        <v>669</v>
      </c>
      <c r="I314" s="347">
        <f>'B- Parks,Util,CS, Trans (rep)'!$K$1</f>
        <v>2018</v>
      </c>
    </row>
    <row r="315" spans="1:9" s="3" customFormat="1" x14ac:dyDescent="0.2">
      <c r="A315" s="156" t="str">
        <f>'B- Parks,Util,CS, Trans (rep)'!B36</f>
        <v>MRB708</v>
      </c>
      <c r="B315" s="4" t="str">
        <f>'B- Parks,Util,CS, Trans (rep)'!C36</f>
        <v>STRUCTURAL MAINT SPEC 2</v>
      </c>
      <c r="C315" s="156" t="str">
        <f>'B- Parks,Util,CS, Trans (rep)'!A35</f>
        <v>B32</v>
      </c>
      <c r="D315" s="156">
        <v>6</v>
      </c>
      <c r="E315" s="405">
        <f>'B- Parks,Util,CS, Trans (rep)'!D35</f>
        <v>4906.7093962380004</v>
      </c>
      <c r="F315" s="405">
        <f t="shared" si="2"/>
        <v>5538.594338979</v>
      </c>
      <c r="G315" s="405">
        <f>'B- Parks,Util,CS, Trans (rep)'!I35</f>
        <v>6170.4792817199996</v>
      </c>
      <c r="H315" s="156" t="s">
        <v>669</v>
      </c>
      <c r="I315" s="347">
        <f>'B- Parks,Util,CS, Trans (rep)'!$K$1</f>
        <v>2018</v>
      </c>
    </row>
    <row r="316" spans="1:9" s="3" customFormat="1" x14ac:dyDescent="0.2">
      <c r="A316" s="67" t="str">
        <f>'H- Bldg Insp, Examiners (rep)'!C11</f>
        <v>JRH202</v>
      </c>
      <c r="B316" t="str">
        <f>'H- Bldg Insp, Examiners (rep)'!D11</f>
        <v>STRUCTURAL PLANS EXAMINER</v>
      </c>
      <c r="C316" s="67" t="str">
        <f>'H- Bldg Insp, Examiners (rep)'!A11</f>
        <v>H05</v>
      </c>
      <c r="D316" s="67">
        <v>3</v>
      </c>
      <c r="E316" s="68">
        <f>'H- Bldg Insp, Examiners (rep)'!E11</f>
        <v>8336.4524970720013</v>
      </c>
      <c r="F316" s="68">
        <f>'H- Bldg Insp, Examiners (rep)'!F11</f>
        <v>8759.6193030192007</v>
      </c>
      <c r="G316" s="68">
        <f>'H- Bldg Insp, Examiners (rep)'!G11</f>
        <v>9204.3220987452005</v>
      </c>
      <c r="H316" s="67" t="s">
        <v>668</v>
      </c>
      <c r="I316" s="347">
        <f>'H- Bldg Insp, Examiners (rep)'!$H$1</f>
        <v>2018</v>
      </c>
    </row>
    <row r="317" spans="1:9" s="3" customFormat="1" x14ac:dyDescent="0.2">
      <c r="A317" s="156" t="str">
        <f>'G - General Pay Plan'!C3</f>
        <v>ANG301</v>
      </c>
      <c r="B317" t="str">
        <f>'G - General Pay Plan'!D3</f>
        <v>STUDENT INTERN 1</v>
      </c>
      <c r="C317" s="156" t="str">
        <f>'G - General Pay Plan'!A3</f>
        <v>G01</v>
      </c>
      <c r="D317" s="156" t="s">
        <v>386</v>
      </c>
      <c r="E317" s="404">
        <f>'G - General Pay Plan'!E3</f>
        <v>2080</v>
      </c>
      <c r="F317" s="404">
        <f>(E317+G317)/2</f>
        <v>2308.4933333333333</v>
      </c>
      <c r="G317" s="404">
        <f>'G - General Pay Plan'!G3</f>
        <v>2536.9866666666667</v>
      </c>
      <c r="H317" s="156" t="s">
        <v>669</v>
      </c>
      <c r="I317" s="348">
        <f>'G - General Pay Plan'!$H$1</f>
        <v>2019</v>
      </c>
    </row>
    <row r="318" spans="1:9" s="3" customFormat="1" x14ac:dyDescent="0.2">
      <c r="A318" s="156" t="str">
        <f>'G - General Pay Plan'!C15</f>
        <v>ANG302</v>
      </c>
      <c r="B318" t="str">
        <f>'G - General Pay Plan'!D15</f>
        <v>STUDENT INTERN 2</v>
      </c>
      <c r="C318" s="156" t="str">
        <f>'G - General Pay Plan'!A15</f>
        <v>G09</v>
      </c>
      <c r="D318" s="156" t="s">
        <v>386</v>
      </c>
      <c r="E318" s="404">
        <f>'G - General Pay Plan'!E15</f>
        <v>2733.5133333333338</v>
      </c>
      <c r="F318" s="404">
        <f>(E318+G318)/2</f>
        <v>3250.9437500000004</v>
      </c>
      <c r="G318" s="404">
        <f>'G - General Pay Plan'!G15</f>
        <v>3768.3741666666665</v>
      </c>
      <c r="H318" s="156" t="s">
        <v>669</v>
      </c>
      <c r="I318" s="348">
        <f>'G - General Pay Plan'!$H$1</f>
        <v>2019</v>
      </c>
    </row>
    <row r="319" spans="1:9" s="3" customFormat="1" x14ac:dyDescent="0.2">
      <c r="A319" s="156" t="str">
        <f>'G - General Pay Plan'!C37</f>
        <v>ANG303</v>
      </c>
      <c r="B319" t="str">
        <f>'G - General Pay Plan'!D37</f>
        <v>STUDENT INTERN 3</v>
      </c>
      <c r="C319" s="156" t="str">
        <f>'G - General Pay Plan'!A31</f>
        <v>G16</v>
      </c>
      <c r="D319" s="156" t="s">
        <v>386</v>
      </c>
      <c r="E319" s="404">
        <f>'G - General Pay Plan'!E31</f>
        <v>3864.5750000000003</v>
      </c>
      <c r="F319" s="404">
        <f>(E319+G319)/2</f>
        <v>4599.8345833333333</v>
      </c>
      <c r="G319" s="404">
        <f>'G - General Pay Plan'!G31</f>
        <v>5335.0941666666668</v>
      </c>
      <c r="H319" s="156" t="s">
        <v>669</v>
      </c>
      <c r="I319" s="348">
        <f>'G - General Pay Plan'!$H$1</f>
        <v>2019</v>
      </c>
    </row>
    <row r="320" spans="1:9" s="3" customFormat="1" x14ac:dyDescent="0.2">
      <c r="A320" s="156" t="str">
        <f>'M-Mid Mgmt'!C23</f>
        <v>LNM202</v>
      </c>
      <c r="B320" t="str">
        <f>'M-Mid Mgmt'!D23</f>
        <v>SUPERVISING ATTORNEY</v>
      </c>
      <c r="C320" s="156" t="str">
        <f>'M-Mid Mgmt'!A16</f>
        <v>M02</v>
      </c>
      <c r="D320" s="156" t="s">
        <v>386</v>
      </c>
      <c r="E320" s="404">
        <f>'M-Mid Mgmt'!E16</f>
        <v>9438.7991666666658</v>
      </c>
      <c r="F320" s="404">
        <f>'M-Mid Mgmt'!F16</f>
        <v>11232.28125</v>
      </c>
      <c r="G320" s="404">
        <f>'M-Mid Mgmt'!G16</f>
        <v>13025.763333333334</v>
      </c>
      <c r="H320" s="156" t="s">
        <v>668</v>
      </c>
      <c r="I320" s="347">
        <f>'M-Mid Mgmt'!$H$1</f>
        <v>2019</v>
      </c>
    </row>
    <row r="321" spans="1:9" s="3" customFormat="1" x14ac:dyDescent="0.2">
      <c r="A321" s="156" t="str">
        <f>'G - General Pay Plan'!C4</f>
        <v>ANG611</v>
      </c>
      <c r="B321" t="str">
        <f>'G - General Pay Plan'!D4</f>
        <v>SUPPORTED EMPLOYMENT AIDE</v>
      </c>
      <c r="C321" s="156" t="str">
        <f>'G - General Pay Plan'!A3</f>
        <v>G01</v>
      </c>
      <c r="D321" s="156" t="s">
        <v>386</v>
      </c>
      <c r="E321" s="404">
        <f>'G - General Pay Plan'!E3</f>
        <v>2080</v>
      </c>
      <c r="F321" s="404">
        <f>(E321+G321)/2</f>
        <v>2308.4933333333333</v>
      </c>
      <c r="G321" s="404">
        <f>'G - General Pay Plan'!G3</f>
        <v>2536.9866666666667</v>
      </c>
      <c r="H321" s="343" t="s">
        <v>669</v>
      </c>
      <c r="I321" s="348">
        <f>'G - General Pay Plan'!$H$1</f>
        <v>2019</v>
      </c>
    </row>
    <row r="322" spans="1:9" s="3" customFormat="1" x14ac:dyDescent="0.2">
      <c r="A322" s="156" t="str">
        <f>'G - General Pay Plan'!C39</f>
        <v>ENG309</v>
      </c>
      <c r="B322" t="str">
        <f>'G - General Pay Plan'!D39</f>
        <v>SURVEY ASSISTANT</v>
      </c>
      <c r="C322" s="156" t="str">
        <f>'G - General Pay Plan'!A39</f>
        <v>G17</v>
      </c>
      <c r="D322" s="156" t="s">
        <v>386</v>
      </c>
      <c r="E322" s="404">
        <f>'G - General Pay Plan'!E39</f>
        <v>4062.4766666666669</v>
      </c>
      <c r="F322" s="404">
        <f>(E322+G322)/2</f>
        <v>4834.1554166666665</v>
      </c>
      <c r="G322" s="404">
        <f>'G - General Pay Plan'!G39</f>
        <v>5605.8341666666665</v>
      </c>
      <c r="H322" s="156" t="s">
        <v>669</v>
      </c>
      <c r="I322" s="348">
        <f>'G - General Pay Plan'!$H$1</f>
        <v>2019</v>
      </c>
    </row>
    <row r="323" spans="1:9" s="3" customFormat="1" x14ac:dyDescent="0.2">
      <c r="A323" s="156" t="str">
        <f>'G - General Pay Plan'!C257</f>
        <v>ENG210</v>
      </c>
      <c r="B323" s="3" t="str">
        <f>'G - General Pay Plan'!D257</f>
        <v>SURVEY MANAGER</v>
      </c>
      <c r="C323" s="156" t="str">
        <f>'G - General Pay Plan'!A248</f>
        <v>G31</v>
      </c>
      <c r="D323" s="156" t="s">
        <v>386</v>
      </c>
      <c r="E323" s="404">
        <f>'G - General Pay Plan'!E248</f>
        <v>8134.5749999999998</v>
      </c>
      <c r="F323" s="404">
        <f>(E323+G323)/2</f>
        <v>9679.9929166666661</v>
      </c>
      <c r="G323" s="404">
        <f>'G - General Pay Plan'!G248</f>
        <v>11225.410833333333</v>
      </c>
      <c r="H323" s="156" t="s">
        <v>668</v>
      </c>
      <c r="I323" s="348">
        <f>'G - General Pay Plan'!$H$1</f>
        <v>2019</v>
      </c>
    </row>
    <row r="324" spans="1:9" s="3" customFormat="1" x14ac:dyDescent="0.2">
      <c r="A324" s="156" t="str">
        <f>'G - General Pay Plan'!C71</f>
        <v>ENG305</v>
      </c>
      <c r="B324" t="str">
        <f>'G - General Pay Plan'!D71</f>
        <v>SURVEYOR 1</v>
      </c>
      <c r="C324" s="156" t="str">
        <f>'G - General Pay Plan'!A64</f>
        <v>G21</v>
      </c>
      <c r="D324" s="156" t="s">
        <v>386</v>
      </c>
      <c r="E324" s="404">
        <f>'G - General Pay Plan'!E64</f>
        <v>4953.0333333333338</v>
      </c>
      <c r="F324" s="404">
        <f>(E324+G324)/2</f>
        <v>5893.7525000000005</v>
      </c>
      <c r="G324" s="404">
        <f>'G - General Pay Plan'!G64</f>
        <v>6834.4716666666673</v>
      </c>
      <c r="H324" s="156" t="s">
        <v>669</v>
      </c>
      <c r="I324" s="348">
        <f>'G - General Pay Plan'!$H$1</f>
        <v>2019</v>
      </c>
    </row>
    <row r="325" spans="1:9" s="3" customFormat="1" x14ac:dyDescent="0.2">
      <c r="A325" s="156" t="str">
        <f>'G - General Pay Plan'!C102</f>
        <v>ENG306</v>
      </c>
      <c r="B325" t="str">
        <f>'G - General Pay Plan'!D102</f>
        <v>SURVEYOR 2</v>
      </c>
      <c r="C325" s="156" t="str">
        <f>'G - General Pay Plan'!A86</f>
        <v>G23</v>
      </c>
      <c r="D325" s="156" t="s">
        <v>386</v>
      </c>
      <c r="E325" s="404">
        <f>'G - General Pay Plan'!E86</f>
        <v>5469.7758333333331</v>
      </c>
      <c r="F325" s="404">
        <f>(E325+G325)/2</f>
        <v>6508.7583333333332</v>
      </c>
      <c r="G325" s="404">
        <f>'G - General Pay Plan'!G86</f>
        <v>7547.7408333333333</v>
      </c>
      <c r="H325" s="156" t="s">
        <v>669</v>
      </c>
      <c r="I325" s="348">
        <f>'G - General Pay Plan'!$H$1</f>
        <v>2019</v>
      </c>
    </row>
    <row r="326" spans="1:9" x14ac:dyDescent="0.2">
      <c r="A326" s="156" t="str">
        <f>'G - General Pay Plan'!C140</f>
        <v>ENG307</v>
      </c>
      <c r="B326" t="str">
        <f>'G - General Pay Plan'!D140</f>
        <v>SURVEYOR 3</v>
      </c>
      <c r="C326" s="156" t="str">
        <f>'G - General Pay Plan'!A133</f>
        <v>G25</v>
      </c>
      <c r="D326" s="156" t="s">
        <v>386</v>
      </c>
      <c r="E326" s="404">
        <f>'G - General Pay Plan'!E133</f>
        <v>6042.8658333333333</v>
      </c>
      <c r="F326" s="404">
        <f>'G - General Pay Plan'!F133</f>
        <v>7189.045000000001</v>
      </c>
      <c r="G326" s="404">
        <f>'G - General Pay Plan'!G133</f>
        <v>8335.2241666666669</v>
      </c>
      <c r="H326" s="156" t="s">
        <v>669</v>
      </c>
      <c r="I326" s="348">
        <f>'G - General Pay Plan'!$H$1</f>
        <v>2019</v>
      </c>
    </row>
    <row r="327" spans="1:9" x14ac:dyDescent="0.2">
      <c r="A327" s="156" t="str">
        <f>'G - General Pay Plan'!C141</f>
        <v>ING211</v>
      </c>
      <c r="B327" t="str">
        <f>'G - General Pay Plan'!D141</f>
        <v>SYSTEMS ANALYST</v>
      </c>
      <c r="C327" s="156" t="str">
        <f>'G - General Pay Plan'!A133</f>
        <v>G25</v>
      </c>
      <c r="D327" s="156" t="s">
        <v>386</v>
      </c>
      <c r="E327" s="404">
        <f>'G - General Pay Plan'!E133</f>
        <v>6042.8658333333333</v>
      </c>
      <c r="F327" s="404">
        <f>'G - General Pay Plan'!F133</f>
        <v>7189.045000000001</v>
      </c>
      <c r="G327" s="404">
        <f>'G - General Pay Plan'!G133</f>
        <v>8335.2241666666669</v>
      </c>
      <c r="H327" s="156" t="s">
        <v>668</v>
      </c>
      <c r="I327" s="348">
        <f>'G - General Pay Plan'!$H$1</f>
        <v>2019</v>
      </c>
    </row>
    <row r="328" spans="1:9" x14ac:dyDescent="0.2">
      <c r="A328" s="156" t="str">
        <f>'B- Parks,Util,CS, Trans (rep)'!B47</f>
        <v>MRB709</v>
      </c>
      <c r="B328" s="4" t="str">
        <f>'B- Parks,Util,CS, Trans (rep)'!C47</f>
        <v>TECHNICAL SPECIALIST</v>
      </c>
      <c r="C328" s="156" t="str">
        <f>'B- Parks,Util,CS, Trans (rep)'!A47</f>
        <v>B39</v>
      </c>
      <c r="D328" s="343" t="s">
        <v>748</v>
      </c>
      <c r="E328" s="405">
        <f>'B- Parks,Util,CS, Trans (rep)'!D47</f>
        <v>5383.0631369319999</v>
      </c>
      <c r="F328" s="405">
        <f>(E328+G328)/2</f>
        <v>5975.9028367739993</v>
      </c>
      <c r="G328" s="405">
        <f>'B- Parks,Util,CS, Trans (rep)'!I47</f>
        <v>6568.7425366159996</v>
      </c>
      <c r="H328" s="156" t="s">
        <v>669</v>
      </c>
      <c r="I328" s="347">
        <f>'B- Parks,Util,CS, Trans (rep)'!$K$1</f>
        <v>2018</v>
      </c>
    </row>
    <row r="329" spans="1:9" x14ac:dyDescent="0.2">
      <c r="A329" s="156" t="str">
        <f>'G - General Pay Plan'!C46</f>
        <v>ING505</v>
      </c>
      <c r="B329" t="str">
        <f>('G - General Pay Plan'!D46)</f>
        <v>TECHNOLOGY BUSINESS ANALYST 1</v>
      </c>
      <c r="C329" s="156" t="str">
        <f>'G - General Pay Plan'!A43</f>
        <v>G18</v>
      </c>
      <c r="D329" s="156" t="s">
        <v>386</v>
      </c>
      <c r="E329" s="404">
        <f>'G - General Pay Plan'!E43</f>
        <v>4267.25</v>
      </c>
      <c r="F329" s="404">
        <f>(E329+G329)/2</f>
        <v>5078.0962500000005</v>
      </c>
      <c r="G329" s="404">
        <f>'G - General Pay Plan'!G43</f>
        <v>5888.9425000000001</v>
      </c>
      <c r="H329" s="156" t="s">
        <v>668</v>
      </c>
      <c r="I329" s="348">
        <f>'G - General Pay Plan'!$H$1</f>
        <v>2019</v>
      </c>
    </row>
    <row r="330" spans="1:9" s="3" customFormat="1" x14ac:dyDescent="0.2">
      <c r="A330" s="156" t="str">
        <f>'G - General Pay Plan'!C103</f>
        <v>ING241</v>
      </c>
      <c r="B330" t="str">
        <f>('G - General Pay Plan'!D103)</f>
        <v>TECHNOLOGY BUSINESS ANALYST 2</v>
      </c>
      <c r="C330" s="156" t="str">
        <f>'G - General Pay Plan'!A86</f>
        <v>G23</v>
      </c>
      <c r="D330" s="156" t="s">
        <v>386</v>
      </c>
      <c r="E330" s="404">
        <f>'G - General Pay Plan'!E86</f>
        <v>5469.7758333333331</v>
      </c>
      <c r="F330" s="404">
        <f>'G - General Pay Plan'!F86</f>
        <v>6508.7583333333341</v>
      </c>
      <c r="G330" s="404">
        <f>'G - General Pay Plan'!G86</f>
        <v>7547.7408333333333</v>
      </c>
      <c r="H330" s="156" t="s">
        <v>668</v>
      </c>
      <c r="I330" s="348">
        <f>'G - General Pay Plan'!$H$1</f>
        <v>2019</v>
      </c>
    </row>
    <row r="331" spans="1:9" s="3" customFormat="1" x14ac:dyDescent="0.2">
      <c r="A331" s="307" t="str">
        <f>'G - General Pay Plan'!C167</f>
        <v>ING240</v>
      </c>
      <c r="B331" t="str">
        <f>('G - General Pay Plan'!D167)</f>
        <v>TECHNOLOGY BUSINESS ANALYST 3</v>
      </c>
      <c r="C331" s="307" t="str">
        <f>'G - General Pay Plan'!A146</f>
        <v>G26</v>
      </c>
      <c r="D331" s="307" t="s">
        <v>386</v>
      </c>
      <c r="E331" s="403">
        <f>'G - General Pay Plan'!E146</f>
        <v>6347.9633333333331</v>
      </c>
      <c r="F331" s="403">
        <f>'G - General Pay Plan'!F146</f>
        <v>7553.2383333333337</v>
      </c>
      <c r="G331" s="403">
        <f>'G - General Pay Plan'!G146</f>
        <v>8758.5133333333342</v>
      </c>
      <c r="H331" s="307" t="s">
        <v>668</v>
      </c>
      <c r="I331" s="348">
        <f>'G - General Pay Plan'!$H$1</f>
        <v>2019</v>
      </c>
    </row>
    <row r="332" spans="1:9" s="3" customFormat="1" x14ac:dyDescent="0.2">
      <c r="A332" s="307" t="str">
        <f>'G - General Pay Plan'!C130</f>
        <v>ENG308</v>
      </c>
      <c r="B332" t="str">
        <f>'G - General Pay Plan'!D130</f>
        <v>TELEMETRY TECHNICIAN</v>
      </c>
      <c r="C332" s="307" t="str">
        <f>'G - General Pay Plan'!A106</f>
        <v>G24</v>
      </c>
      <c r="D332" s="307" t="s">
        <v>386</v>
      </c>
      <c r="E332" s="403">
        <f>'G - General Pay Plan'!E106</f>
        <v>5748.7624999999998</v>
      </c>
      <c r="F332" s="403">
        <f>'G - General Pay Plan'!F106</f>
        <v>6840.65625</v>
      </c>
      <c r="G332" s="403">
        <f>'G - General Pay Plan'!G106</f>
        <v>7932.55</v>
      </c>
      <c r="H332" s="307" t="s">
        <v>669</v>
      </c>
      <c r="I332" s="348">
        <f>'G - General Pay Plan'!$H$1</f>
        <v>2019</v>
      </c>
    </row>
    <row r="333" spans="1:9" s="3" customFormat="1" x14ac:dyDescent="0.2">
      <c r="A333" s="156" t="str">
        <f>'G - General Pay Plan'!C142</f>
        <v>ENG310</v>
      </c>
      <c r="B333" t="str">
        <f>'G - General Pay Plan'!D142</f>
        <v>TELEMETRY TECHNICIAN LEAD</v>
      </c>
      <c r="C333" s="156" t="str">
        <f>'G - General Pay Plan'!A133</f>
        <v>G25</v>
      </c>
      <c r="D333" s="343" t="s">
        <v>386</v>
      </c>
      <c r="E333" s="404">
        <f>'G - General Pay Plan'!E133</f>
        <v>6042.8658333333333</v>
      </c>
      <c r="F333" s="404">
        <f>'G - General Pay Plan'!F133</f>
        <v>7189.045000000001</v>
      </c>
      <c r="G333" s="404">
        <f>'G - General Pay Plan'!G133</f>
        <v>8335.2241666666669</v>
      </c>
      <c r="H333" s="343" t="s">
        <v>669</v>
      </c>
      <c r="I333" s="348">
        <f>'G - General Pay Plan'!$H$1</f>
        <v>2019</v>
      </c>
    </row>
    <row r="334" spans="1:9" s="3" customFormat="1" x14ac:dyDescent="0.2">
      <c r="A334" s="307" t="str">
        <f>'G - General Pay Plan'!C203</f>
        <v>HNG205</v>
      </c>
      <c r="B334" t="str">
        <f>'G - General Pay Plan'!D203</f>
        <v>TRAINING &amp; ORGANIZATION DEVELOPMENT COORD</v>
      </c>
      <c r="C334" s="307" t="str">
        <f>'G - General Pay Plan'!A192</f>
        <v>G28</v>
      </c>
      <c r="D334" s="307" t="s">
        <v>386</v>
      </c>
      <c r="E334" s="403">
        <f>'G - General Pay Plan'!E192</f>
        <v>7010.3841666666667</v>
      </c>
      <c r="F334" s="403">
        <f>'G - General Pay Plan'!F192</f>
        <v>8341.4087500000005</v>
      </c>
      <c r="G334" s="403">
        <f>'G - General Pay Plan'!G192</f>
        <v>9672.4333333333325</v>
      </c>
      <c r="H334" s="307" t="s">
        <v>668</v>
      </c>
      <c r="I334" s="348">
        <f>'G - General Pay Plan'!$H$1</f>
        <v>2019</v>
      </c>
    </row>
    <row r="335" spans="1:9" s="3" customFormat="1" x14ac:dyDescent="0.2">
      <c r="A335" s="307" t="str">
        <f>'G - General Pay Plan'!C189</f>
        <v>ENG222</v>
      </c>
      <c r="B335" s="2" t="str">
        <f>'G - General Pay Plan'!D189</f>
        <v>TRANSPORATION MATERIALS PROGRAM MANAGER</v>
      </c>
      <c r="C335" s="307" t="str">
        <f>'G - General Pay Plan'!A169</f>
        <v>G27</v>
      </c>
      <c r="D335" s="41" t="s">
        <v>386</v>
      </c>
      <c r="E335" s="403">
        <f>'G - General Pay Plan'!E169</f>
        <v>6670.9283333333333</v>
      </c>
      <c r="F335" s="403">
        <f>'G - General Pay Plan'!F169</f>
        <v>7938.0475000000006</v>
      </c>
      <c r="G335" s="403">
        <f>'G - General Pay Plan'!G169</f>
        <v>9205.1666666666661</v>
      </c>
      <c r="H335" s="41" t="s">
        <v>668</v>
      </c>
      <c r="I335" s="348">
        <f>'G - General Pay Plan'!H1</f>
        <v>2019</v>
      </c>
    </row>
    <row r="336" spans="1:9" s="3" customFormat="1" x14ac:dyDescent="0.2">
      <c r="A336" s="307" t="str">
        <f>'G - General Pay Plan'!C269</f>
        <v>ENG216</v>
      </c>
      <c r="B336" t="str">
        <f>'G - General Pay Plan'!D269</f>
        <v>TRANSPORTATION CONSTRUCTION MGR</v>
      </c>
      <c r="C336" s="307" t="str">
        <f>'G - General Pay Plan'!A262</f>
        <v>G32</v>
      </c>
      <c r="D336" s="307" t="s">
        <v>386</v>
      </c>
      <c r="E336" s="403">
        <f>'G - General Pay Plan'!E262</f>
        <v>8548.2433333333338</v>
      </c>
      <c r="F336" s="403">
        <f>'G - General Pay Plan'!F262</f>
        <v>10171.997083333334</v>
      </c>
      <c r="G336" s="403">
        <f>'G - General Pay Plan'!G262</f>
        <v>11795.750833333334</v>
      </c>
      <c r="H336" s="307" t="s">
        <v>668</v>
      </c>
      <c r="I336" s="348">
        <f>'G - General Pay Plan'!$H$1</f>
        <v>2019</v>
      </c>
    </row>
    <row r="337" spans="1:9" s="3" customFormat="1" x14ac:dyDescent="0.2">
      <c r="A337" s="307" t="str">
        <f>'G - General Pay Plan'!C258</f>
        <v>DNG219</v>
      </c>
      <c r="B337" s="3" t="str">
        <f>'G - General Pay Plan'!D258</f>
        <v>TRANSPORTATION FORECASTING MANAGER</v>
      </c>
      <c r="C337" s="307" t="str">
        <f>'G - General Pay Plan'!A248</f>
        <v>G31</v>
      </c>
      <c r="D337" s="307" t="s">
        <v>386</v>
      </c>
      <c r="E337" s="403">
        <f>'G - General Pay Plan'!E248</f>
        <v>8134.5749999999998</v>
      </c>
      <c r="F337" s="403">
        <f>'G - General Pay Plan'!F248</f>
        <v>9679.9929166666661</v>
      </c>
      <c r="G337" s="403">
        <f>'G - General Pay Plan'!G248</f>
        <v>11225.410833333333</v>
      </c>
      <c r="H337" s="307" t="s">
        <v>668</v>
      </c>
      <c r="I337" s="348">
        <f>'G - General Pay Plan'!$H$1</f>
        <v>2019</v>
      </c>
    </row>
    <row r="338" spans="1:9" s="3" customFormat="1" x14ac:dyDescent="0.2">
      <c r="A338" s="307" t="str">
        <f>'G - General Pay Plan'!C243</f>
        <v>MNG212</v>
      </c>
      <c r="B338" s="71" t="str">
        <f>'G - General Pay Plan'!D243</f>
        <v>TRANSPORTATION OPERATIONS &amp; MAINTENANCE MGR</v>
      </c>
      <c r="C338" s="307" t="str">
        <f>'G - General Pay Plan'!A219</f>
        <v>G30</v>
      </c>
      <c r="D338" s="66" t="s">
        <v>386</v>
      </c>
      <c r="E338" s="403">
        <f>'G - General Pay Plan'!E219</f>
        <v>7741.52</v>
      </c>
      <c r="F338" s="403">
        <f>'G - General Pay Plan'!F219</f>
        <v>9211.350833333332</v>
      </c>
      <c r="G338" s="403">
        <f>'G - General Pay Plan'!G219</f>
        <v>10681.181666666665</v>
      </c>
      <c r="H338" s="66" t="s">
        <v>668</v>
      </c>
      <c r="I338" s="348">
        <f>'G - General Pay Plan'!$H$1</f>
        <v>2019</v>
      </c>
    </row>
    <row r="339" spans="1:9" s="3" customFormat="1" x14ac:dyDescent="0.2">
      <c r="A339" s="307" t="str">
        <f>'G - General Pay Plan'!C259</f>
        <v>DNG220</v>
      </c>
      <c r="B339" s="3" t="str">
        <f>'G - General Pay Plan'!D259</f>
        <v>TRANSPORTATION POLICY ADVISOR</v>
      </c>
      <c r="C339" s="307" t="str">
        <f>'G - General Pay Plan'!A248</f>
        <v>G31</v>
      </c>
      <c r="D339" s="307" t="s">
        <v>386</v>
      </c>
      <c r="E339" s="403">
        <f>'G - General Pay Plan'!E248</f>
        <v>8134.5749999999998</v>
      </c>
      <c r="F339" s="403">
        <f>'G - General Pay Plan'!F248</f>
        <v>9679.9929166666661</v>
      </c>
      <c r="G339" s="403">
        <f>'G - General Pay Plan'!G248</f>
        <v>11225.410833333333</v>
      </c>
      <c r="H339" s="307" t="s">
        <v>668</v>
      </c>
      <c r="I339" s="348">
        <f>'G - General Pay Plan'!$H$1</f>
        <v>2019</v>
      </c>
    </row>
    <row r="340" spans="1:9" s="3" customFormat="1" x14ac:dyDescent="0.2">
      <c r="A340" s="307" t="str">
        <f>'G - General Pay Plan'!C217</f>
        <v>DNG230</v>
      </c>
      <c r="B340" s="3" t="str">
        <f>'G - General Pay Plan'!D217</f>
        <v>TRANSPORTATION PRINCIPAL PLANNER</v>
      </c>
      <c r="C340" s="307" t="str">
        <f>'G - General Pay Plan'!A207</f>
        <v>G29</v>
      </c>
      <c r="D340" s="307" t="s">
        <v>386</v>
      </c>
      <c r="E340" s="403">
        <f>'G - General Pay Plan'!E207</f>
        <v>7364.956666666666</v>
      </c>
      <c r="F340" s="403">
        <f>'G - General Pay Plan'!F207</f>
        <v>8765.3845833333326</v>
      </c>
      <c r="G340" s="403">
        <f>'G - General Pay Plan'!G207</f>
        <v>10165.8125</v>
      </c>
      <c r="H340" s="41" t="s">
        <v>668</v>
      </c>
      <c r="I340" s="348">
        <f>'G - General Pay Plan'!$H$1</f>
        <v>2019</v>
      </c>
    </row>
    <row r="341" spans="1:9" s="3" customFormat="1" x14ac:dyDescent="0.2">
      <c r="A341" s="307" t="str">
        <f>'G - General Pay Plan'!C244</f>
        <v>ENG215</v>
      </c>
      <c r="B341" s="53" t="str">
        <f>'G - General Pay Plan'!D244</f>
        <v>TRANSPORTATION STRATEGIC ENGINEERING ADVISOR</v>
      </c>
      <c r="C341" s="307" t="str">
        <f>'G - General Pay Plan'!A219</f>
        <v>G30</v>
      </c>
      <c r="D341" s="41" t="s">
        <v>386</v>
      </c>
      <c r="E341" s="403">
        <f>'G - General Pay Plan'!E219</f>
        <v>7741.52</v>
      </c>
      <c r="F341" s="403">
        <f>'G - General Pay Plan'!F219</f>
        <v>9211.350833333332</v>
      </c>
      <c r="G341" s="403">
        <f>'G - General Pay Plan'!G219</f>
        <v>10681.181666666665</v>
      </c>
      <c r="H341" s="41" t="s">
        <v>668</v>
      </c>
      <c r="I341" s="348">
        <f>'G - General Pay Plan'!$H$1</f>
        <v>2019</v>
      </c>
    </row>
    <row r="342" spans="1:9" s="3" customFormat="1" x14ac:dyDescent="0.2">
      <c r="A342" s="307" t="str">
        <f>'G - General Pay Plan'!C245</f>
        <v>ANG223</v>
      </c>
      <c r="B342" s="2" t="str">
        <f>'G - General Pay Plan'!D245</f>
        <v>TRANSPORTATION TECHNOLOGY PARTNERSHIPS MGR</v>
      </c>
      <c r="C342" s="307" t="str">
        <f>'G - General Pay Plan'!A219</f>
        <v>G30</v>
      </c>
      <c r="D342" s="41" t="s">
        <v>386</v>
      </c>
      <c r="E342" s="403">
        <f>'G - General Pay Plan'!E219</f>
        <v>7741.52</v>
      </c>
      <c r="F342" s="403">
        <f>'G - General Pay Plan'!F219</f>
        <v>9211.350833333332</v>
      </c>
      <c r="G342" s="403">
        <f>'G - General Pay Plan'!G219</f>
        <v>10681.181666666665</v>
      </c>
      <c r="H342" s="41" t="s">
        <v>668</v>
      </c>
      <c r="I342" s="348">
        <f>'G - General Pay Plan'!H1</f>
        <v>2019</v>
      </c>
    </row>
    <row r="343" spans="1:9" s="3" customFormat="1" x14ac:dyDescent="0.2">
      <c r="A343" s="307" t="str">
        <f>'G - General Pay Plan'!C204</f>
        <v>ANG211</v>
      </c>
      <c r="B343" t="str">
        <f>'G - General Pay Plan'!D204</f>
        <v>UTILITIES ADMINISTRATION &amp; OPERATIONS MANAGER</v>
      </c>
      <c r="C343" s="307" t="str">
        <f>'G - General Pay Plan'!A192</f>
        <v>G28</v>
      </c>
      <c r="D343" s="307" t="s">
        <v>386</v>
      </c>
      <c r="E343" s="403">
        <f>'G - General Pay Plan'!E192</f>
        <v>7010.3841666666667</v>
      </c>
      <c r="F343" s="403">
        <f>'G - General Pay Plan'!F192</f>
        <v>8341.4087500000005</v>
      </c>
      <c r="G343" s="403">
        <f>'G - General Pay Plan'!G192</f>
        <v>9672.4333333333325</v>
      </c>
      <c r="H343" s="307" t="s">
        <v>668</v>
      </c>
      <c r="I343" s="348">
        <f>'G - General Pay Plan'!$H$1</f>
        <v>2019</v>
      </c>
    </row>
    <row r="344" spans="1:9" s="3" customFormat="1" x14ac:dyDescent="0.2">
      <c r="A344" s="307" t="str">
        <f>'G - General Pay Plan'!C143</f>
        <v>ANG213</v>
      </c>
      <c r="B344" t="str">
        <f>'G - General Pay Plan'!D143</f>
        <v>UTILITIES BILLING MANAGER</v>
      </c>
      <c r="C344" s="307" t="str">
        <f>'G - General Pay Plan'!A133</f>
        <v>G25</v>
      </c>
      <c r="D344" s="307" t="s">
        <v>386</v>
      </c>
      <c r="E344" s="403">
        <f>'G - General Pay Plan'!E133</f>
        <v>6042.8658333333333</v>
      </c>
      <c r="F344" s="403">
        <f>'G - General Pay Plan'!F133</f>
        <v>7189.045000000001</v>
      </c>
      <c r="G344" s="403">
        <f>'G - General Pay Plan'!G133</f>
        <v>8335.2241666666669</v>
      </c>
      <c r="H344" s="307" t="s">
        <v>668</v>
      </c>
      <c r="I344" s="348">
        <f>'G - General Pay Plan'!$H$1</f>
        <v>2019</v>
      </c>
    </row>
    <row r="345" spans="1:9" s="3" customFormat="1" x14ac:dyDescent="0.2">
      <c r="A345" s="307" t="str">
        <f>'G - General Pay Plan'!C246</f>
        <v>MNG208</v>
      </c>
      <c r="B345" t="str">
        <f>'G - General Pay Plan'!D246</f>
        <v>UTILITIES OPERATIONS &amp; MAINTENANCE MANAGER</v>
      </c>
      <c r="C345" s="307" t="str">
        <f>'G - General Pay Plan'!A219</f>
        <v>G30</v>
      </c>
      <c r="D345" s="307" t="s">
        <v>386</v>
      </c>
      <c r="E345" s="403">
        <f>'G - General Pay Plan'!E219</f>
        <v>7741.52</v>
      </c>
      <c r="F345" s="403">
        <f>'G - General Pay Plan'!F219</f>
        <v>9211.350833333332</v>
      </c>
      <c r="G345" s="403">
        <f>'G - General Pay Plan'!G219</f>
        <v>10681.181666666665</v>
      </c>
      <c r="H345" s="307" t="s">
        <v>668</v>
      </c>
      <c r="I345" s="348">
        <f>'G - General Pay Plan'!$H$1</f>
        <v>2019</v>
      </c>
    </row>
    <row r="346" spans="1:9" s="3" customFormat="1" x14ac:dyDescent="0.2">
      <c r="A346" s="307" t="str">
        <f>'G - General Pay Plan'!C260</f>
        <v>DNG221</v>
      </c>
      <c r="B346" s="3" t="str">
        <f>'G - General Pay Plan'!D260</f>
        <v>UTILITIES POLICY ADVISOR</v>
      </c>
      <c r="C346" s="307" t="str">
        <f>'G - General Pay Plan'!A248</f>
        <v>G31</v>
      </c>
      <c r="D346" s="307" t="s">
        <v>386</v>
      </c>
      <c r="E346" s="403">
        <f>'G - General Pay Plan'!E248</f>
        <v>8134.5749999999998</v>
      </c>
      <c r="F346" s="403">
        <f>'G - General Pay Plan'!F248</f>
        <v>9679.9929166666661</v>
      </c>
      <c r="G346" s="403">
        <f>'G - General Pay Plan'!G248</f>
        <v>11225.410833333333</v>
      </c>
      <c r="H346" s="307" t="s">
        <v>668</v>
      </c>
      <c r="I346" s="348">
        <f>'G - General Pay Plan'!$H$1</f>
        <v>2019</v>
      </c>
    </row>
    <row r="347" spans="1:9" s="3" customFormat="1" x14ac:dyDescent="0.2">
      <c r="A347" s="307" t="str">
        <f>'G - General Pay Plan'!C144</f>
        <v>DNG223</v>
      </c>
      <c r="B347" t="str">
        <f>'G - General Pay Plan'!D144</f>
        <v>UTILITIES REVIEW PROFESSIONAL</v>
      </c>
      <c r="C347" s="307" t="str">
        <f>'G - General Pay Plan'!A133</f>
        <v>G25</v>
      </c>
      <c r="D347" s="307" t="s">
        <v>386</v>
      </c>
      <c r="E347" s="403">
        <f>'G - General Pay Plan'!E133</f>
        <v>6042.8658333333333</v>
      </c>
      <c r="F347" s="403">
        <f>'G - General Pay Plan'!F133</f>
        <v>7189.045000000001</v>
      </c>
      <c r="G347" s="403">
        <f>'G - General Pay Plan'!G133</f>
        <v>8335.2241666666669</v>
      </c>
      <c r="H347" s="307" t="s">
        <v>668</v>
      </c>
      <c r="I347" s="348">
        <f>'G - General Pay Plan'!$H$1</f>
        <v>2019</v>
      </c>
    </row>
    <row r="348" spans="1:9" s="3" customFormat="1" x14ac:dyDescent="0.2">
      <c r="A348" s="307" t="str">
        <f>'G - General Pay Plan'!C190</f>
        <v>MNG207</v>
      </c>
      <c r="B348" t="str">
        <f>'G - General Pay Plan'!D190</f>
        <v>UTILITIES SUPERINTENDENT</v>
      </c>
      <c r="C348" s="307" t="str">
        <f>'G - General Pay Plan'!A169</f>
        <v>G27</v>
      </c>
      <c r="D348" s="307" t="s">
        <v>386</v>
      </c>
      <c r="E348" s="403">
        <f>'G - General Pay Plan'!E169</f>
        <v>6670.9283333333333</v>
      </c>
      <c r="F348" s="403">
        <f>'G - General Pay Plan'!F169</f>
        <v>7938.0475000000006</v>
      </c>
      <c r="G348" s="403">
        <f>'G - General Pay Plan'!G169</f>
        <v>9205.1666666666661</v>
      </c>
      <c r="H348" s="307" t="s">
        <v>668</v>
      </c>
      <c r="I348" s="348">
        <f>'G - General Pay Plan'!$H$1</f>
        <v>2019</v>
      </c>
    </row>
    <row r="349" spans="1:9" s="3" customFormat="1" x14ac:dyDescent="0.2">
      <c r="A349" s="307" t="str">
        <f>'G - General Pay Plan'!C104</f>
        <v>GNG207</v>
      </c>
      <c r="B349" t="str">
        <f>'G - General Pay Plan'!D104</f>
        <v>VOLUNTEER PROGRAM COORDINATOR</v>
      </c>
      <c r="C349" s="307" t="str">
        <f>'G - General Pay Plan'!A86</f>
        <v>G23</v>
      </c>
      <c r="D349" s="307" t="s">
        <v>386</v>
      </c>
      <c r="E349" s="403">
        <f>'G - General Pay Plan'!E86</f>
        <v>5469.7758333333331</v>
      </c>
      <c r="F349" s="403">
        <f>'G - General Pay Plan'!F86</f>
        <v>6508.7583333333341</v>
      </c>
      <c r="G349" s="403">
        <f>'G - General Pay Plan'!G86</f>
        <v>7547.7408333333333</v>
      </c>
      <c r="H349" s="307" t="s">
        <v>668</v>
      </c>
      <c r="I349" s="348">
        <f>'G - General Pay Plan'!$H$1</f>
        <v>2019</v>
      </c>
    </row>
    <row r="350" spans="1:9" s="3" customFormat="1" x14ac:dyDescent="0.2">
      <c r="A350" s="307" t="str">
        <f>'G - General Pay Plan'!C205</f>
        <v>ENG211</v>
      </c>
      <c r="B350" t="str">
        <f>'G - General Pay Plan'!D205</f>
        <v>WATER QUALITY SUPERVISOR</v>
      </c>
      <c r="C350" s="307" t="str">
        <f>'G - General Pay Plan'!A192</f>
        <v>G28</v>
      </c>
      <c r="D350" s="307" t="s">
        <v>386</v>
      </c>
      <c r="E350" s="403">
        <f>'G - General Pay Plan'!E192</f>
        <v>7010.3841666666667</v>
      </c>
      <c r="F350" s="403">
        <f>'G - General Pay Plan'!F192</f>
        <v>8341.4087500000005</v>
      </c>
      <c r="G350" s="403">
        <f>'G - General Pay Plan'!G192</f>
        <v>9672.4333333333325</v>
      </c>
      <c r="H350" s="307" t="s">
        <v>668</v>
      </c>
      <c r="I350" s="348">
        <f>'G - General Pay Plan'!$H$1</f>
        <v>2019</v>
      </c>
    </row>
    <row r="351" spans="1:9" s="3" customFormat="1" x14ac:dyDescent="0.2">
      <c r="A351" s="67" t="str">
        <f>'I -Signals &amp; Electronics (rep)'!B23</f>
        <v>MRI702</v>
      </c>
      <c r="B351" t="str">
        <f>'I -Signals &amp; Electronics (rep)'!C23</f>
        <v>WORKING CHIEF</v>
      </c>
      <c r="C351" s="67" t="str">
        <f>'I -Signals &amp; Electronics (rep)'!A23</f>
        <v>I06</v>
      </c>
      <c r="D351" s="67">
        <v>4</v>
      </c>
      <c r="E351" s="68">
        <f>'I -Signals &amp; Electronics (rep)'!F23</f>
        <v>7345.7953223387194</v>
      </c>
      <c r="F351" s="68">
        <f>(E351+G351)/2</f>
        <v>7925.4400270135984</v>
      </c>
      <c r="G351" s="68">
        <f>'I -Signals &amp; Electronics (rep)'!I23</f>
        <v>8505.0847316884774</v>
      </c>
      <c r="H351" s="67" t="s">
        <v>669</v>
      </c>
      <c r="I351" s="347">
        <f>'I -Signals &amp; Electronics (rep)'!J1</f>
        <v>2018</v>
      </c>
    </row>
    <row r="352" spans="1:9" s="3" customFormat="1" x14ac:dyDescent="0.2">
      <c r="A352" s="67"/>
      <c r="B352"/>
      <c r="C352" s="67"/>
      <c r="D352" s="67"/>
      <c r="E352" s="68"/>
      <c r="F352" s="68"/>
      <c r="G352" s="68"/>
      <c r="H352" s="67"/>
      <c r="I352" s="348"/>
    </row>
    <row r="353" spans="1:9" s="3" customFormat="1" x14ac:dyDescent="0.2">
      <c r="A353" s="67"/>
      <c r="B353"/>
      <c r="C353" s="67"/>
      <c r="D353" s="67"/>
      <c r="E353" s="68"/>
      <c r="F353" s="68"/>
      <c r="G353" s="68"/>
      <c r="H353" s="67"/>
      <c r="I353" s="348"/>
    </row>
    <row r="354" spans="1:9" s="3" customFormat="1" x14ac:dyDescent="0.2">
      <c r="A354" s="67"/>
      <c r="B354"/>
      <c r="C354" s="67"/>
      <c r="D354" s="67"/>
      <c r="E354" s="68"/>
      <c r="F354" s="68"/>
      <c r="G354" s="68"/>
      <c r="H354" s="67"/>
      <c r="I354" s="348"/>
    </row>
    <row r="355" spans="1:9" ht="13.5" thickBot="1" x14ac:dyDescent="0.25">
      <c r="B355" t="s">
        <v>819</v>
      </c>
    </row>
    <row r="356" spans="1:9" ht="45.75" thickBot="1" x14ac:dyDescent="0.25">
      <c r="B356" s="48" t="s">
        <v>793</v>
      </c>
      <c r="C356" s="49" t="s">
        <v>794</v>
      </c>
      <c r="D356" s="49" t="s">
        <v>795</v>
      </c>
      <c r="E356" s="647" t="s">
        <v>796</v>
      </c>
      <c r="F356" s="647" t="s">
        <v>797</v>
      </c>
      <c r="G356" s="647" t="s">
        <v>797</v>
      </c>
    </row>
    <row r="357" spans="1:9" ht="30" x14ac:dyDescent="0.2">
      <c r="B357" s="651" t="s">
        <v>798</v>
      </c>
      <c r="C357" s="50" t="s">
        <v>799</v>
      </c>
      <c r="D357" s="651" t="s">
        <v>803</v>
      </c>
      <c r="E357" s="654"/>
      <c r="F357" s="654"/>
      <c r="G357" s="654"/>
    </row>
    <row r="358" spans="1:9" ht="30" x14ac:dyDescent="0.2">
      <c r="B358" s="652"/>
      <c r="C358" s="50" t="s">
        <v>800</v>
      </c>
      <c r="D358" s="652"/>
      <c r="E358" s="655"/>
      <c r="F358" s="655"/>
      <c r="G358" s="655"/>
    </row>
    <row r="359" spans="1:9" ht="15" x14ac:dyDescent="0.2">
      <c r="B359" s="652"/>
      <c r="C359" s="50" t="s">
        <v>801</v>
      </c>
      <c r="D359" s="652"/>
      <c r="E359" s="655"/>
      <c r="F359" s="655"/>
      <c r="G359" s="655"/>
    </row>
    <row r="360" spans="1:9" ht="15.75" thickBot="1" x14ac:dyDescent="0.25">
      <c r="B360" s="653"/>
      <c r="C360" s="51" t="s">
        <v>802</v>
      </c>
      <c r="D360" s="653"/>
      <c r="E360" s="656"/>
      <c r="F360" s="656"/>
      <c r="G360" s="656"/>
    </row>
    <row r="361" spans="1:9" ht="15.75" thickBot="1" x14ac:dyDescent="0.25">
      <c r="B361" s="52" t="s">
        <v>804</v>
      </c>
      <c r="C361" s="51"/>
      <c r="D361" s="51"/>
      <c r="E361" s="648"/>
      <c r="F361" s="648"/>
      <c r="G361" s="648"/>
    </row>
    <row r="362" spans="1:9" ht="15.75" thickBot="1" x14ac:dyDescent="0.25">
      <c r="B362" s="52" t="s">
        <v>805</v>
      </c>
      <c r="C362" s="51"/>
      <c r="D362" s="51"/>
      <c r="E362" s="648"/>
      <c r="F362" s="648"/>
      <c r="G362" s="648"/>
    </row>
    <row r="363" spans="1:9" ht="15.75" thickBot="1" x14ac:dyDescent="0.25">
      <c r="B363" s="52" t="s">
        <v>806</v>
      </c>
      <c r="C363" s="51"/>
      <c r="D363" s="51"/>
      <c r="E363" s="648"/>
      <c r="F363" s="648"/>
      <c r="G363" s="648"/>
    </row>
    <row r="364" spans="1:9" ht="15.75" thickBot="1" x14ac:dyDescent="0.25">
      <c r="B364" s="52" t="s">
        <v>807</v>
      </c>
      <c r="C364" s="51"/>
      <c r="D364" s="51"/>
      <c r="E364" s="648"/>
      <c r="F364" s="648"/>
      <c r="G364" s="648"/>
    </row>
    <row r="365" spans="1:9" ht="15.75" thickBot="1" x14ac:dyDescent="0.25">
      <c r="B365" s="52" t="s">
        <v>808</v>
      </c>
      <c r="C365" s="51"/>
      <c r="D365" s="51"/>
      <c r="E365" s="648"/>
      <c r="F365" s="648"/>
      <c r="G365" s="648"/>
    </row>
    <row r="366" spans="1:9" ht="15.75" thickBot="1" x14ac:dyDescent="0.25">
      <c r="B366" s="52" t="s">
        <v>809</v>
      </c>
      <c r="C366" s="51"/>
      <c r="D366" s="51"/>
      <c r="E366" s="648"/>
      <c r="F366" s="648"/>
      <c r="G366" s="648"/>
    </row>
    <row r="367" spans="1:9" ht="15.75" thickBot="1" x14ac:dyDescent="0.25">
      <c r="B367" s="52" t="s">
        <v>810</v>
      </c>
      <c r="C367" s="51"/>
      <c r="D367" s="51"/>
      <c r="E367" s="648"/>
      <c r="F367" s="648"/>
      <c r="G367" s="648"/>
    </row>
    <row r="368" spans="1:9" ht="15.75" thickBot="1" x14ac:dyDescent="0.25">
      <c r="B368" s="52" t="s">
        <v>811</v>
      </c>
      <c r="C368" s="51"/>
      <c r="D368" s="51"/>
      <c r="E368" s="648"/>
      <c r="F368" s="648"/>
      <c r="G368" s="648"/>
    </row>
    <row r="369" spans="2:7" ht="15.75" thickBot="1" x14ac:dyDescent="0.25">
      <c r="B369" s="52" t="s">
        <v>812</v>
      </c>
      <c r="C369" s="51"/>
      <c r="D369" s="51"/>
      <c r="E369" s="648"/>
      <c r="F369" s="648"/>
      <c r="G369" s="648"/>
    </row>
    <row r="370" spans="2:7" ht="15.75" thickBot="1" x14ac:dyDescent="0.25">
      <c r="B370" s="52" t="s">
        <v>813</v>
      </c>
      <c r="C370" s="51"/>
      <c r="D370" s="51"/>
      <c r="E370" s="648"/>
      <c r="F370" s="648"/>
      <c r="G370" s="648"/>
    </row>
    <row r="371" spans="2:7" ht="15.75" thickBot="1" x14ac:dyDescent="0.25">
      <c r="B371" s="52" t="s">
        <v>814</v>
      </c>
      <c r="C371" s="51"/>
      <c r="D371" s="51"/>
      <c r="E371" s="648"/>
      <c r="F371" s="648"/>
      <c r="G371" s="648"/>
    </row>
    <row r="372" spans="2:7" ht="15.75" thickBot="1" x14ac:dyDescent="0.25">
      <c r="B372" s="52" t="s">
        <v>815</v>
      </c>
      <c r="C372" s="51"/>
      <c r="D372" s="51"/>
      <c r="E372" s="648"/>
      <c r="F372" s="648"/>
      <c r="G372" s="648"/>
    </row>
    <row r="373" spans="2:7" ht="15.75" thickBot="1" x14ac:dyDescent="0.25">
      <c r="B373" s="52" t="s">
        <v>816</v>
      </c>
      <c r="C373" s="51"/>
      <c r="D373" s="51"/>
      <c r="E373" s="648"/>
      <c r="F373" s="648"/>
      <c r="G373" s="648"/>
    </row>
    <row r="374" spans="2:7" ht="15.75" thickBot="1" x14ac:dyDescent="0.25">
      <c r="B374" s="52" t="s">
        <v>817</v>
      </c>
      <c r="C374" s="51"/>
      <c r="D374" s="51"/>
      <c r="E374" s="648"/>
      <c r="F374" s="648"/>
      <c r="G374" s="648"/>
    </row>
    <row r="375" spans="2:7" ht="15.75" thickBot="1" x14ac:dyDescent="0.25">
      <c r="B375" s="52" t="s">
        <v>818</v>
      </c>
      <c r="C375" s="51"/>
      <c r="D375" s="51"/>
      <c r="E375" s="648"/>
      <c r="F375" s="648"/>
      <c r="G375" s="648"/>
    </row>
    <row r="377" spans="2:7" ht="30" x14ac:dyDescent="0.2">
      <c r="B377" s="415" t="s">
        <v>1011</v>
      </c>
    </row>
  </sheetData>
  <sortState ref="A2:I351">
    <sortCondition ref="B1"/>
  </sortState>
  <customSheetViews>
    <customSheetView guid="{03674138-A9FA-46A6-AB09-A74C70852C0D}" showPageBreaks="1" fitToPage="1" printArea="1" state="hidden" view="pageLayout">
      <selection activeCell="B6" sqref="B6"/>
      <pageMargins left="0.5" right="0.5" top="0.75" bottom="0.75" header="0.5" footer="0.5"/>
      <printOptions horizontalCentered="1" gridLines="1"/>
      <pageSetup scale="78" fitToHeight="11" orientation="portrait" r:id="rId1"/>
      <headerFooter alignWithMargins="0">
        <oddHeader>&amp;LCITY OF BELLEVUE&amp;C&amp;"Arial,Bold"&amp;12 2016 JOB TITLE TABLE</oddHeader>
        <oddFooter>&amp;CPage &amp;P of &amp;N</oddFooter>
      </headerFooter>
    </customSheetView>
    <customSheetView guid="{6140C585-A678-4296-91B8-0C17DF653D09}" showPageBreaks="1" fitToPage="1" printArea="1" view="pageLayout" topLeftCell="A31">
      <selection activeCell="B6" sqref="B6"/>
      <pageMargins left="0.5" right="0.5" top="0.75" bottom="0.75" header="0.5" footer="0.5"/>
      <printOptions horizontalCentered="1" gridLines="1"/>
      <pageSetup scale="79" fitToHeight="11" orientation="portrait" r:id="rId2"/>
      <headerFooter alignWithMargins="0">
        <oddHeader>&amp;LCITY OF BELLEVUE&amp;C&amp;"Arial,Bold"&amp;12 2016 JOB TITLE TABLE</oddHeader>
        <oddFooter>&amp;CPage &amp;P of &amp;N</oddFooter>
      </headerFooter>
    </customSheetView>
    <customSheetView guid="{49073133-97C6-4E81-BEFE-D9E658C173F7}" showPageBreaks="1" fitToPage="1" printArea="1" view="pageLayout" topLeftCell="A31">
      <selection activeCell="B6" sqref="B6"/>
      <pageMargins left="0.5" right="0.5" top="0.75" bottom="0.75" header="0.5" footer="0.5"/>
      <printOptions horizontalCentered="1" gridLines="1"/>
      <pageSetup scale="79" fitToHeight="11" orientation="portrait" r:id="rId3"/>
      <headerFooter alignWithMargins="0">
        <oddHeader>&amp;LCITY OF BELLEVUE&amp;C&amp;"Arial,Bold"&amp;12 2016 JOB TITLE TABLE</oddHeader>
        <oddFooter>&amp;CPage &amp;P of &amp;N</oddFooter>
      </headerFooter>
    </customSheetView>
  </customSheetViews>
  <mergeCells count="5">
    <mergeCell ref="D357:D360"/>
    <mergeCell ref="F357:F360"/>
    <mergeCell ref="G357:G360"/>
    <mergeCell ref="B357:B360"/>
    <mergeCell ref="E357:E360"/>
  </mergeCells>
  <phoneticPr fontId="7" type="noConversion"/>
  <printOptions horizontalCentered="1" gridLines="1"/>
  <pageMargins left="0.5" right="0.5" top="0.75" bottom="0.75" header="0.5" footer="0.5"/>
  <pageSetup scale="70" fitToWidth="0" fitToHeight="0" orientation="portrait" r:id="rId4"/>
  <headerFooter alignWithMargins="0">
    <oddHeader>&amp;L&amp;"Times New Roman,Regular"CITY OF BELLEVUE&amp;C&amp;"Times New Roman,Bold"&amp;14 2019 JOB TITLE TABLE</oddHeader>
    <oddFooter>&amp;C&amp;"Times New Roman,Regular"Page &amp;P of &amp;N&amp;R&amp;8Printed: &amp;D</oddFooter>
  </headerFooter>
  <ignoredErrors>
    <ignoredError sqref="C352:I36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92D050"/>
  </sheetPr>
  <dimension ref="A1:N216"/>
  <sheetViews>
    <sheetView view="pageLayout" zoomScale="85" zoomScaleNormal="100" zoomScalePageLayoutView="85" workbookViewId="0">
      <selection sqref="A1:A2"/>
    </sheetView>
  </sheetViews>
  <sheetFormatPr defaultColWidth="8.85546875" defaultRowHeight="12.75" x14ac:dyDescent="0.2"/>
  <cols>
    <col min="1" max="1" width="5" style="323" customWidth="1"/>
    <col min="2" max="2" width="2.7109375" style="323" customWidth="1"/>
    <col min="3" max="3" width="7.42578125" style="323" customWidth="1"/>
    <col min="4" max="4" width="36.85546875" style="322" customWidth="1"/>
    <col min="5" max="5" width="11.28515625" style="325" bestFit="1" customWidth="1"/>
    <col min="6" max="6" width="11.85546875" style="325" customWidth="1"/>
    <col min="7" max="7" width="12.5703125" style="325" customWidth="1"/>
    <col min="8" max="10" width="10.7109375" style="325" customWidth="1"/>
    <col min="11" max="11" width="17" style="322" bestFit="1" customWidth="1"/>
    <col min="12" max="16384" width="8.85546875" style="322"/>
  </cols>
  <sheetData>
    <row r="1" spans="1:14" s="314" customFormat="1" x14ac:dyDescent="0.2">
      <c r="A1" s="711" t="s">
        <v>550</v>
      </c>
      <c r="B1" s="667"/>
      <c r="C1" s="667" t="s">
        <v>0</v>
      </c>
      <c r="D1" s="667" t="s">
        <v>1</v>
      </c>
      <c r="E1" s="712" t="s">
        <v>1108</v>
      </c>
      <c r="F1" s="712"/>
      <c r="G1" s="712"/>
      <c r="H1" s="346">
        <v>2018</v>
      </c>
      <c r="I1" s="333"/>
      <c r="J1" s="333"/>
      <c r="K1" s="334" t="s">
        <v>1017</v>
      </c>
      <c r="L1" s="662" t="s">
        <v>2</v>
      </c>
      <c r="M1" s="662"/>
      <c r="N1" s="193"/>
    </row>
    <row r="2" spans="1:14" s="315" customFormat="1" x14ac:dyDescent="0.2">
      <c r="A2" s="668"/>
      <c r="B2" s="668"/>
      <c r="C2" s="668"/>
      <c r="D2" s="669"/>
      <c r="E2" s="326" t="s">
        <v>574</v>
      </c>
      <c r="F2" s="326" t="s">
        <v>573</v>
      </c>
      <c r="G2" s="326" t="s">
        <v>820</v>
      </c>
      <c r="H2" s="326"/>
      <c r="I2" s="326"/>
      <c r="J2" s="326"/>
      <c r="K2" s="425">
        <v>1.032</v>
      </c>
      <c r="L2" s="326" t="s">
        <v>821</v>
      </c>
      <c r="M2" s="326" t="s">
        <v>822</v>
      </c>
      <c r="N2" s="196"/>
    </row>
    <row r="3" spans="1:14" s="317" customFormat="1" x14ac:dyDescent="0.2">
      <c r="A3" s="306" t="s">
        <v>77</v>
      </c>
      <c r="B3" s="306"/>
      <c r="C3" s="273" t="s">
        <v>344</v>
      </c>
      <c r="D3" s="270" t="s">
        <v>28</v>
      </c>
      <c r="E3" s="328">
        <f>6365.99952905*$K$2</f>
        <v>6569.7115139796006</v>
      </c>
      <c r="F3" s="328">
        <f>6691.14353355*$K$2</f>
        <v>6905.2601266236006</v>
      </c>
      <c r="G3" s="328">
        <f>7026.76199505*$K$2</f>
        <v>7251.6183788916005</v>
      </c>
      <c r="H3" s="270" t="s">
        <v>10</v>
      </c>
      <c r="I3" s="335"/>
      <c r="J3" s="335"/>
      <c r="K3" s="335"/>
      <c r="L3" s="183">
        <f>(F3-E3)/E3</f>
        <v>5.1075090881843241E-2</v>
      </c>
      <c r="M3" s="183">
        <f>(G3-F3)/F3</f>
        <v>5.0158610380599142E-2</v>
      </c>
      <c r="N3" s="270"/>
    </row>
    <row r="4" spans="1:14" s="317" customFormat="1" x14ac:dyDescent="0.2">
      <c r="A4" s="306"/>
      <c r="B4" s="306"/>
      <c r="C4" s="306"/>
      <c r="D4" s="270"/>
      <c r="E4" s="328">
        <f>E3*12</f>
        <v>78836.538167755207</v>
      </c>
      <c r="F4" s="328">
        <f>F3*12</f>
        <v>82863.121519483204</v>
      </c>
      <c r="G4" s="328">
        <f>G3*12</f>
        <v>87019.420546699199</v>
      </c>
      <c r="H4" s="270" t="s">
        <v>520</v>
      </c>
      <c r="I4" s="335"/>
      <c r="J4" s="335"/>
      <c r="K4" s="335"/>
      <c r="L4" s="183">
        <f>(G3-E3)/G3</f>
        <v>9.4035128337273094E-2</v>
      </c>
      <c r="M4" s="270"/>
      <c r="N4" s="270"/>
    </row>
    <row r="5" spans="1:14" s="317" customFormat="1" x14ac:dyDescent="0.2">
      <c r="A5" s="306"/>
      <c r="B5" s="306"/>
      <c r="C5" s="306"/>
      <c r="D5" s="270"/>
      <c r="E5" s="328">
        <f>E4/2080</f>
        <v>37.902181811420775</v>
      </c>
      <c r="F5" s="328">
        <f>F4/2080</f>
        <v>39.838039192059234</v>
      </c>
      <c r="G5" s="328">
        <f>G4/2080</f>
        <v>41.836259878220766</v>
      </c>
      <c r="H5" s="270" t="s">
        <v>11</v>
      </c>
      <c r="I5" s="335"/>
      <c r="J5" s="335"/>
      <c r="K5" s="335"/>
      <c r="L5" s="183" t="e">
        <f>(#REF!-#REF!)/#REF!</f>
        <v>#REF!</v>
      </c>
      <c r="M5" s="183" t="e">
        <f>(#REF!-#REF!)/#REF!</f>
        <v>#REF!</v>
      </c>
      <c r="N5" s="270"/>
    </row>
    <row r="6" spans="1:14" s="317" customFormat="1" ht="35.1" customHeight="1" x14ac:dyDescent="0.2">
      <c r="A6" s="306"/>
      <c r="B6" s="306"/>
      <c r="C6" s="306"/>
      <c r="D6" s="270"/>
      <c r="E6" s="328"/>
      <c r="F6" s="328"/>
      <c r="G6" s="328"/>
      <c r="H6" s="270"/>
      <c r="I6" s="336"/>
      <c r="J6" s="336"/>
      <c r="K6" s="270"/>
      <c r="L6" s="270"/>
      <c r="M6" s="270"/>
      <c r="N6" s="270"/>
    </row>
    <row r="7" spans="1:14" s="317" customFormat="1" x14ac:dyDescent="0.2">
      <c r="A7" s="306" t="s">
        <v>78</v>
      </c>
      <c r="B7" s="306"/>
      <c r="C7" s="273" t="s">
        <v>345</v>
      </c>
      <c r="D7" s="270" t="s">
        <v>29</v>
      </c>
      <c r="E7" s="328">
        <f>6999.3373562*$K$2</f>
        <v>7223.3161515984002</v>
      </c>
      <c r="F7" s="328">
        <f>7355.8239223*$K$2</f>
        <v>7591.2102878136002</v>
      </c>
      <c r="G7" s="328">
        <f>7726.69117745*$K$2</f>
        <v>7973.9452951284002</v>
      </c>
      <c r="H7" s="270" t="s">
        <v>10</v>
      </c>
      <c r="I7" s="336"/>
      <c r="J7" s="336"/>
      <c r="K7" s="271" t="s">
        <v>455</v>
      </c>
      <c r="L7" s="183">
        <f>(F7-E7)/E7</f>
        <v>5.0931473646462382E-2</v>
      </c>
      <c r="M7" s="183">
        <f>(G7-F7)/F7</f>
        <v>5.0418180079824175E-2</v>
      </c>
      <c r="N7" s="270"/>
    </row>
    <row r="8" spans="1:14" s="317" customFormat="1" x14ac:dyDescent="0.2">
      <c r="A8" s="306"/>
      <c r="B8" s="306" t="s">
        <v>88</v>
      </c>
      <c r="C8" s="273" t="s">
        <v>343</v>
      </c>
      <c r="D8" s="270" t="s">
        <v>91</v>
      </c>
      <c r="E8" s="328">
        <f>E7*12</f>
        <v>86679.793819180806</v>
      </c>
      <c r="F8" s="328">
        <f>F7*12</f>
        <v>91094.523453763206</v>
      </c>
      <c r="G8" s="328">
        <f>G7*12</f>
        <v>95687.343541540802</v>
      </c>
      <c r="H8" s="270" t="s">
        <v>520</v>
      </c>
      <c r="I8" s="336"/>
      <c r="J8" s="336"/>
      <c r="K8" s="271" t="s">
        <v>456</v>
      </c>
      <c r="L8" s="183" t="e">
        <f>(#REF!-#REF!)/#REF!</f>
        <v>#REF!</v>
      </c>
      <c r="M8" s="270"/>
      <c r="N8" s="270"/>
    </row>
    <row r="9" spans="1:14" s="317" customFormat="1" x14ac:dyDescent="0.2">
      <c r="A9" s="306"/>
      <c r="B9" s="306" t="s">
        <v>88</v>
      </c>
      <c r="C9" s="273" t="s">
        <v>346</v>
      </c>
      <c r="D9" s="270" t="s">
        <v>30</v>
      </c>
      <c r="E9" s="328">
        <f>E8/2080</f>
        <v>41.672977797683082</v>
      </c>
      <c r="F9" s="328">
        <f>F8/2080</f>
        <v>43.795443968155389</v>
      </c>
      <c r="G9" s="328">
        <f>G8/2080</f>
        <v>46.003530548817693</v>
      </c>
      <c r="H9" s="270" t="s">
        <v>11</v>
      </c>
      <c r="I9" s="336"/>
      <c r="J9" s="336"/>
      <c r="K9" s="271" t="s">
        <v>457</v>
      </c>
      <c r="L9" s="183" t="e">
        <f>(E17-#REF!)/#REF!</f>
        <v>#REF!</v>
      </c>
      <c r="M9" s="183" t="e">
        <f>(F17-#REF!)/#REF!</f>
        <v>#REF!</v>
      </c>
      <c r="N9" s="183"/>
    </row>
    <row r="10" spans="1:14" s="317" customFormat="1" ht="35.1" customHeight="1" x14ac:dyDescent="0.2">
      <c r="A10" s="306"/>
      <c r="B10" s="306"/>
      <c r="C10" s="306"/>
      <c r="D10" s="270"/>
      <c r="E10" s="328"/>
      <c r="F10" s="328"/>
      <c r="G10" s="328"/>
      <c r="H10" s="270"/>
      <c r="I10" s="336"/>
      <c r="J10" s="336"/>
      <c r="K10" s="270"/>
      <c r="L10" s="270"/>
      <c r="M10" s="270"/>
      <c r="N10" s="270"/>
    </row>
    <row r="11" spans="1:14" s="317" customFormat="1" x14ac:dyDescent="0.2">
      <c r="A11" s="306" t="s">
        <v>79</v>
      </c>
      <c r="B11" s="306" t="s">
        <v>88</v>
      </c>
      <c r="C11" s="273" t="s">
        <v>347</v>
      </c>
      <c r="D11" s="270" t="s">
        <v>31</v>
      </c>
      <c r="E11" s="328">
        <f>8077.957846*$K$2</f>
        <v>8336.4524970720013</v>
      </c>
      <c r="F11" s="328">
        <f>8488.0032006*$K$2</f>
        <v>8759.6193030192007</v>
      </c>
      <c r="G11" s="328">
        <f>8918.91676235*$K$2</f>
        <v>9204.3220987452005</v>
      </c>
      <c r="H11" s="270" t="s">
        <v>10</v>
      </c>
      <c r="I11" s="336"/>
      <c r="J11" s="336"/>
      <c r="K11" s="271" t="s">
        <v>455</v>
      </c>
      <c r="L11" s="183">
        <f>(F11-E11)/E11</f>
        <v>5.076101688288006E-2</v>
      </c>
      <c r="M11" s="183">
        <f>(G11-F11)/F11</f>
        <v>5.0767365606028438E-2</v>
      </c>
      <c r="N11" s="270"/>
    </row>
    <row r="12" spans="1:14" s="317" customFormat="1" x14ac:dyDescent="0.2">
      <c r="A12" s="306"/>
      <c r="B12" s="306"/>
      <c r="C12" s="273"/>
      <c r="D12" s="270"/>
      <c r="E12" s="328">
        <f>E11*12</f>
        <v>100037.42996486402</v>
      </c>
      <c r="F12" s="328">
        <f>F11*12</f>
        <v>105115.43163623041</v>
      </c>
      <c r="G12" s="328">
        <f>G11*12</f>
        <v>110451.86518494241</v>
      </c>
      <c r="H12" s="270" t="s">
        <v>520</v>
      </c>
      <c r="I12" s="336"/>
      <c r="J12" s="336"/>
      <c r="K12" s="271" t="s">
        <v>456</v>
      </c>
      <c r="L12" s="183" t="e">
        <f>(J17-E17)/E17</f>
        <v>#DIV/0!</v>
      </c>
      <c r="M12" s="270"/>
      <c r="N12" s="270"/>
    </row>
    <row r="13" spans="1:14" s="317" customFormat="1" x14ac:dyDescent="0.2">
      <c r="A13" s="306"/>
      <c r="B13" s="306"/>
      <c r="C13" s="273"/>
      <c r="D13" s="270"/>
      <c r="E13" s="328">
        <f>E12/2080</f>
        <v>48.094918252338466</v>
      </c>
      <c r="F13" s="328">
        <f>F12/2080</f>
        <v>50.53626520972616</v>
      </c>
      <c r="G13" s="328">
        <f>G12/2080</f>
        <v>53.101858261991538</v>
      </c>
      <c r="H13" s="270" t="s">
        <v>11</v>
      </c>
      <c r="I13" s="336"/>
      <c r="J13" s="336"/>
      <c r="K13" s="270"/>
      <c r="L13" s="270"/>
      <c r="M13" s="270"/>
      <c r="N13" s="270"/>
    </row>
    <row r="14" spans="1:14" s="317" customFormat="1" ht="35.1" customHeight="1" x14ac:dyDescent="0.25">
      <c r="A14" s="339"/>
      <c r="B14" s="339"/>
      <c r="C14" s="339"/>
      <c r="D14" s="339"/>
      <c r="E14" s="339"/>
      <c r="F14" s="339"/>
      <c r="G14" s="339"/>
      <c r="H14" s="339"/>
      <c r="I14" s="336"/>
      <c r="J14" s="336"/>
      <c r="K14" s="270"/>
      <c r="L14" s="270"/>
      <c r="M14" s="270"/>
      <c r="N14" s="270"/>
    </row>
    <row r="15" spans="1:14" s="317" customFormat="1" ht="18.75" x14ac:dyDescent="0.3">
      <c r="A15" s="337"/>
      <c r="B15" s="338"/>
      <c r="C15" s="338"/>
      <c r="D15" s="306"/>
      <c r="E15" s="338"/>
      <c r="F15" s="338"/>
      <c r="G15" s="338"/>
      <c r="H15" s="338"/>
      <c r="I15" s="338"/>
      <c r="J15" s="338"/>
      <c r="K15" s="270"/>
      <c r="L15" s="270"/>
      <c r="M15" s="270"/>
      <c r="N15" s="270"/>
    </row>
    <row r="16" spans="1:14" x14ac:dyDescent="0.2">
      <c r="A16" s="282"/>
      <c r="B16" s="282"/>
      <c r="C16" s="282"/>
      <c r="D16" s="209"/>
      <c r="E16" s="328"/>
      <c r="F16" s="328"/>
      <c r="G16" s="328"/>
      <c r="H16" s="328"/>
      <c r="I16" s="328"/>
      <c r="J16" s="328"/>
      <c r="K16" s="209"/>
      <c r="L16" s="209"/>
      <c r="M16" s="209"/>
      <c r="N16" s="209"/>
    </row>
    <row r="17" spans="1:14" x14ac:dyDescent="0.2">
      <c r="A17" s="282"/>
      <c r="B17" s="282"/>
      <c r="C17" s="282"/>
      <c r="D17" s="209"/>
      <c r="E17" s="397"/>
      <c r="F17" s="328"/>
      <c r="G17" s="328"/>
      <c r="H17" s="328"/>
      <c r="I17" s="328"/>
      <c r="J17" s="328"/>
      <c r="K17" s="209"/>
      <c r="L17" s="209"/>
      <c r="M17" s="209"/>
      <c r="N17" s="209"/>
    </row>
    <row r="18" spans="1:14" x14ac:dyDescent="0.2">
      <c r="E18" s="316"/>
      <c r="F18" s="316"/>
      <c r="G18" s="316"/>
      <c r="H18" s="316"/>
      <c r="I18" s="316"/>
      <c r="J18" s="316"/>
    </row>
    <row r="19" spans="1:14" x14ac:dyDescent="0.2">
      <c r="E19" s="320"/>
      <c r="F19" s="320"/>
      <c r="G19" s="320"/>
      <c r="H19" s="320"/>
      <c r="I19" s="320"/>
      <c r="J19" s="320"/>
    </row>
    <row r="61" spans="9:9" x14ac:dyDescent="0.2">
      <c r="I61" s="436"/>
    </row>
    <row r="77" spans="9:9" x14ac:dyDescent="0.2">
      <c r="I77" s="436"/>
    </row>
    <row r="216" spans="9:9" x14ac:dyDescent="0.2">
      <c r="I216" s="436"/>
    </row>
  </sheetData>
  <mergeCells count="6">
    <mergeCell ref="L1:M1"/>
    <mergeCell ref="A1:A2"/>
    <mergeCell ref="B1:B2"/>
    <mergeCell ref="C1:C2"/>
    <mergeCell ref="D1:D2"/>
    <mergeCell ref="E1:G1"/>
  </mergeCells>
  <printOptions horizontalCentered="1" gridLines="1"/>
  <pageMargins left="0.25" right="0.25" top="2" bottom="1" header="0.5" footer="0.5"/>
  <pageSetup scale="84" orientation="portrait" r:id="rId1"/>
  <headerFooter alignWithMargins="0">
    <oddHeader>&amp;LOrdinance # (pay plan adoption)
Resolution #9043 (2016-18 CBA adoption)&amp;C&amp;"Times New Roman,Bold"&amp;14
2018 CITY OF BELLEVUE PAY PLANS
TEAMSTERS UNION LOCAL NO 763
INSPECTORS, REVIEWERS, AND EXAMINERS</oddHeader>
    <oddFooter>&amp;L&amp;"Times New Roman,Regular"* Position is exempt from overtime.&amp;C&amp;"Times New Roman,Bold"&amp;16&amp;A&amp;R&amp;"Times New Roman,Regular"Effective 01/01/18
System Update 01/xx/18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8">
    <tabColor rgb="FF92D050"/>
  </sheetPr>
  <dimension ref="A1:E10"/>
  <sheetViews>
    <sheetView view="pageLayout" zoomScaleNormal="100" workbookViewId="0">
      <selection sqref="A1:E1"/>
    </sheetView>
  </sheetViews>
  <sheetFormatPr defaultRowHeight="12.75" x14ac:dyDescent="0.2"/>
  <cols>
    <col min="1" max="1" width="9.140625" style="1"/>
    <col min="2" max="2" width="11.85546875" style="1" customWidth="1"/>
    <col min="3" max="3" width="15.140625" style="1" customWidth="1"/>
    <col min="4" max="4" width="16.140625" style="1" customWidth="1"/>
    <col min="5" max="5" width="11.85546875" style="1" customWidth="1"/>
  </cols>
  <sheetData>
    <row r="1" spans="1:5" s="549" customFormat="1" ht="23.25" customHeight="1" thickBot="1" x14ac:dyDescent="0.25">
      <c r="A1" s="713" t="s">
        <v>852</v>
      </c>
      <c r="B1" s="714"/>
      <c r="C1" s="714"/>
      <c r="D1" s="714"/>
      <c r="E1" s="715"/>
    </row>
    <row r="2" spans="1:5" ht="39" thickBot="1" x14ac:dyDescent="0.25">
      <c r="A2" s="55" t="s">
        <v>464</v>
      </c>
      <c r="B2" s="56" t="s">
        <v>843</v>
      </c>
      <c r="C2" s="65" t="s">
        <v>853</v>
      </c>
      <c r="D2" s="57" t="s">
        <v>844</v>
      </c>
      <c r="E2" s="58" t="s">
        <v>845</v>
      </c>
    </row>
    <row r="3" spans="1:5" x14ac:dyDescent="0.2">
      <c r="A3" s="62"/>
      <c r="B3" s="62" t="s">
        <v>843</v>
      </c>
      <c r="C3" s="548">
        <v>5</v>
      </c>
      <c r="D3" s="63" t="s">
        <v>846</v>
      </c>
      <c r="E3" s="64">
        <v>0.01</v>
      </c>
    </row>
    <row r="4" spans="1:5" x14ac:dyDescent="0.2">
      <c r="A4" s="60"/>
      <c r="B4" s="59" t="s">
        <v>843</v>
      </c>
      <c r="C4" s="60">
        <v>10</v>
      </c>
      <c r="D4" s="46" t="s">
        <v>847</v>
      </c>
      <c r="E4" s="61">
        <v>0.02</v>
      </c>
    </row>
    <row r="5" spans="1:5" x14ac:dyDescent="0.2">
      <c r="A5" s="60"/>
      <c r="B5" s="59" t="s">
        <v>843</v>
      </c>
      <c r="C5" s="60">
        <v>15</v>
      </c>
      <c r="D5" s="46" t="s">
        <v>848</v>
      </c>
      <c r="E5" s="61">
        <v>0.04</v>
      </c>
    </row>
    <row r="6" spans="1:5" x14ac:dyDescent="0.2">
      <c r="A6" s="60"/>
      <c r="B6" s="59" t="s">
        <v>843</v>
      </c>
      <c r="C6" s="60">
        <v>20</v>
      </c>
      <c r="D6" s="46" t="s">
        <v>849</v>
      </c>
      <c r="E6" s="61">
        <v>0.05</v>
      </c>
    </row>
    <row r="7" spans="1:5" x14ac:dyDescent="0.2">
      <c r="A7" s="60"/>
      <c r="B7" s="59" t="s">
        <v>843</v>
      </c>
      <c r="C7" s="60">
        <v>25</v>
      </c>
      <c r="D7" s="46" t="s">
        <v>851</v>
      </c>
      <c r="E7" s="61">
        <v>0.06</v>
      </c>
    </row>
    <row r="8" spans="1:5" x14ac:dyDescent="0.2">
      <c r="A8" s="60"/>
      <c r="B8" s="59" t="s">
        <v>843</v>
      </c>
      <c r="C8" s="60">
        <v>30</v>
      </c>
      <c r="D8" s="46" t="s">
        <v>850</v>
      </c>
      <c r="E8" s="61">
        <v>7.0000000000000007E-2</v>
      </c>
    </row>
    <row r="9" spans="1:5" x14ac:dyDescent="0.2">
      <c r="A9" s="43"/>
      <c r="B9" s="54"/>
      <c r="C9" s="54"/>
      <c r="D9" s="37"/>
      <c r="E9" s="38"/>
    </row>
    <row r="10" spans="1:5" x14ac:dyDescent="0.2">
      <c r="A10" s="43"/>
      <c r="B10" s="54"/>
      <c r="C10" s="54"/>
      <c r="D10" s="37"/>
      <c r="E10" s="38"/>
    </row>
  </sheetData>
  <customSheetViews>
    <customSheetView guid="{03674138-A9FA-46A6-AB09-A74C70852C0D}" showPageBreaks="1" printArea="1" state="hidden" view="pageLayout">
      <selection sqref="A1:E1"/>
      <pageMargins left="0.75" right="0.75" top="1" bottom="1" header="0.5" footer="0.5"/>
      <pageSetup orientation="portrait" r:id="rId1"/>
      <headerFooter alignWithMargins="0">
        <oddHeader>&amp;CTeamsters Local Union No 763
Inspectors, Reviewers, and Plans Examiners</oddHeader>
      </headerFooter>
    </customSheetView>
    <customSheetView guid="{6140C585-A678-4296-91B8-0C17DF653D09}" showPageBreaks="1" printArea="1" view="pageLayout">
      <selection sqref="A1:E1"/>
      <pageMargins left="0.75" right="0.75" top="1" bottom="1" header="0.5" footer="0.5"/>
      <pageSetup orientation="portrait" r:id="rId2"/>
      <headerFooter alignWithMargins="0">
        <oddHeader>&amp;CTeamsters Local Union No 763
Inspectors, Reviewers, and Plans Examiners</oddHeader>
      </headerFooter>
    </customSheetView>
    <customSheetView guid="{49073133-97C6-4E81-BEFE-D9E658C173F7}" showPageBreaks="1" printArea="1" view="pageLayout">
      <selection sqref="A1:E1"/>
      <pageMargins left="0.75" right="0.75" top="1" bottom="1" header="0.5" footer="0.5"/>
      <pageSetup orientation="portrait" r:id="rId3"/>
      <headerFooter alignWithMargins="0">
        <oddHeader>&amp;CTeamsters Local Union No 763
Inspectors, Reviewers, and Plans Examiners</oddHeader>
      </headerFooter>
    </customSheetView>
  </customSheetViews>
  <mergeCells count="1">
    <mergeCell ref="A1:E1"/>
  </mergeCells>
  <phoneticPr fontId="7" type="noConversion"/>
  <pageMargins left="0.75" right="0.75" top="1" bottom="1" header="0.5" footer="0.5"/>
  <pageSetup orientation="portrait" r:id="rId4"/>
  <headerFooter alignWithMargins="0">
    <oddHeader>&amp;CTeamsters Union Local No 763
Inspectors, Reviewers, and Plans Examiners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92D050"/>
  </sheetPr>
  <dimension ref="A1:S216"/>
  <sheetViews>
    <sheetView view="pageLayout" zoomScaleNormal="100" workbookViewId="0">
      <selection sqref="A1:A2"/>
    </sheetView>
  </sheetViews>
  <sheetFormatPr defaultColWidth="8.85546875" defaultRowHeight="12.75" x14ac:dyDescent="0.2"/>
  <cols>
    <col min="1" max="1" width="5" style="282" customWidth="1"/>
    <col min="2" max="2" width="8.28515625" style="282" customWidth="1"/>
    <col min="3" max="3" width="33.85546875" style="209" customWidth="1"/>
    <col min="4" max="9" width="10.7109375" style="280" customWidth="1"/>
    <col min="10" max="11" width="9.7109375" style="209" bestFit="1" customWidth="1"/>
    <col min="12" max="12" width="8.85546875" style="209"/>
    <col min="13" max="13" width="17" style="209" bestFit="1" customWidth="1"/>
    <col min="14" max="15" width="8.85546875" style="209"/>
    <col min="16" max="16" width="7.28515625" style="209" bestFit="1" customWidth="1"/>
    <col min="17" max="16384" width="8.85546875" style="209"/>
  </cols>
  <sheetData>
    <row r="1" spans="1:19" s="262" customFormat="1" x14ac:dyDescent="0.2">
      <c r="A1" s="665" t="s">
        <v>550</v>
      </c>
      <c r="B1" s="679" t="s">
        <v>0</v>
      </c>
      <c r="C1" s="679" t="s">
        <v>1</v>
      </c>
      <c r="D1" s="681" t="s">
        <v>1121</v>
      </c>
      <c r="E1" s="681"/>
      <c r="F1" s="681"/>
      <c r="G1" s="681"/>
      <c r="H1" s="681"/>
      <c r="I1" s="681"/>
      <c r="J1" s="311">
        <v>2018</v>
      </c>
      <c r="M1" s="263">
        <v>2018</v>
      </c>
      <c r="N1" s="681" t="s">
        <v>2</v>
      </c>
      <c r="O1" s="681"/>
      <c r="P1" s="681"/>
      <c r="Q1" s="681"/>
      <c r="R1" s="681"/>
      <c r="S1" s="681"/>
    </row>
    <row r="2" spans="1:19" s="265" customFormat="1" x14ac:dyDescent="0.2">
      <c r="A2" s="666"/>
      <c r="B2" s="666"/>
      <c r="C2" s="680"/>
      <c r="D2" s="264">
        <v>1</v>
      </c>
      <c r="E2" s="264">
        <v>2</v>
      </c>
      <c r="F2" s="264">
        <v>3</v>
      </c>
      <c r="G2" s="264">
        <v>4</v>
      </c>
      <c r="H2" s="264">
        <v>5</v>
      </c>
      <c r="I2" s="264">
        <v>6</v>
      </c>
      <c r="J2" s="310"/>
      <c r="M2" s="266">
        <v>1.0269999999999999</v>
      </c>
      <c r="N2" s="267" t="s">
        <v>450</v>
      </c>
      <c r="O2" s="267" t="s">
        <v>451</v>
      </c>
      <c r="P2" s="267" t="s">
        <v>452</v>
      </c>
      <c r="Q2" s="267" t="s">
        <v>453</v>
      </c>
      <c r="R2" s="267" t="s">
        <v>454</v>
      </c>
      <c r="S2" s="265">
        <v>6</v>
      </c>
    </row>
    <row r="3" spans="1:19" s="270" customFormat="1" x14ac:dyDescent="0.2">
      <c r="A3" s="268" t="s">
        <v>390</v>
      </c>
      <c r="B3" s="268" t="s">
        <v>348</v>
      </c>
      <c r="C3" s="269" t="s">
        <v>446</v>
      </c>
      <c r="D3" s="215">
        <f t="shared" ref="D3:I3" si="0">D4/12</f>
        <v>4092.0903330216001</v>
      </c>
      <c r="E3" s="215">
        <f t="shared" si="0"/>
        <v>4297.9716180855994</v>
      </c>
      <c r="F3" s="215">
        <f t="shared" si="0"/>
        <v>4510.5760751202661</v>
      </c>
      <c r="G3" s="215">
        <f t="shared" si="0"/>
        <v>4736.5380794853327</v>
      </c>
      <c r="H3" s="215">
        <f t="shared" si="0"/>
        <v>4973.4854931458667</v>
      </c>
      <c r="I3" s="215">
        <f t="shared" si="0"/>
        <v>5222.4204492823983</v>
      </c>
      <c r="J3" s="270" t="s">
        <v>10</v>
      </c>
      <c r="M3" s="271" t="s">
        <v>455</v>
      </c>
      <c r="N3" s="272">
        <f>(E3-D3)/D3</f>
        <v>5.0312008853425405E-2</v>
      </c>
      <c r="O3" s="272">
        <f>(F3-E3)/E3</f>
        <v>4.9466231033271656E-2</v>
      </c>
      <c r="P3" s="272">
        <f>(G3-F3)/F3</f>
        <v>5.0096041082522205E-2</v>
      </c>
      <c r="Q3" s="272">
        <f>(H3-G3)/G3</f>
        <v>5.0025442566753418E-2</v>
      </c>
      <c r="R3" s="272">
        <f>(I3-H3)/H3</f>
        <v>5.0052414243410885E-2</v>
      </c>
    </row>
    <row r="4" spans="1:19" s="270" customFormat="1" x14ac:dyDescent="0.2">
      <c r="A4" s="268"/>
      <c r="B4" s="268"/>
      <c r="C4" s="270" t="s">
        <v>939</v>
      </c>
      <c r="D4" s="208">
        <f t="shared" ref="D4:I4" si="1">D5*2080</f>
        <v>49105.0839962592</v>
      </c>
      <c r="E4" s="208">
        <f t="shared" si="1"/>
        <v>51575.659417027193</v>
      </c>
      <c r="F4" s="208">
        <f t="shared" si="1"/>
        <v>54126.912901443196</v>
      </c>
      <c r="G4" s="208">
        <f t="shared" si="1"/>
        <v>56838.456953823996</v>
      </c>
      <c r="H4" s="208">
        <f t="shared" si="1"/>
        <v>59681.825917750401</v>
      </c>
      <c r="I4" s="208">
        <f t="shared" si="1"/>
        <v>62669.045391388783</v>
      </c>
      <c r="J4" s="270" t="s">
        <v>520</v>
      </c>
      <c r="M4" s="271" t="s">
        <v>456</v>
      </c>
      <c r="N4" s="272">
        <f>(I3-D3)/D3</f>
        <v>0.27622315840377898</v>
      </c>
    </row>
    <row r="5" spans="1:19" s="270" customFormat="1" x14ac:dyDescent="0.2">
      <c r="A5" s="268"/>
      <c r="B5" s="268"/>
      <c r="D5" s="215">
        <f t="shared" ref="D5:I5" si="2">D17*0.7</f>
        <v>23.60821345974</v>
      </c>
      <c r="E5" s="215">
        <f t="shared" si="2"/>
        <v>24.795990104339996</v>
      </c>
      <c r="F5" s="215">
        <f t="shared" si="2"/>
        <v>26.02255427954</v>
      </c>
      <c r="G5" s="215">
        <f t="shared" si="2"/>
        <v>27.326181227799999</v>
      </c>
      <c r="H5" s="215">
        <f t="shared" si="2"/>
        <v>28.69318553738</v>
      </c>
      <c r="I5" s="215">
        <f t="shared" si="2"/>
        <v>30.129348745859993</v>
      </c>
      <c r="J5" s="270" t="s">
        <v>11</v>
      </c>
      <c r="M5" s="271" t="s">
        <v>457</v>
      </c>
      <c r="N5" s="272">
        <f t="shared" ref="N5:S5" si="3">(D7-D3)/D3</f>
        <v>0.14285714285714293</v>
      </c>
      <c r="O5" s="272">
        <f t="shared" si="3"/>
        <v>0.14285714285714307</v>
      </c>
      <c r="P5" s="272">
        <f t="shared" si="3"/>
        <v>0.1428571428571431</v>
      </c>
      <c r="Q5" s="272">
        <f t="shared" si="3"/>
        <v>0.14285714285714304</v>
      </c>
      <c r="R5" s="272">
        <f t="shared" si="3"/>
        <v>0.1428571428571431</v>
      </c>
      <c r="S5" s="272">
        <f t="shared" si="3"/>
        <v>0.14285714285714304</v>
      </c>
    </row>
    <row r="6" spans="1:19" s="270" customFormat="1" ht="35.1" customHeight="1" x14ac:dyDescent="0.2">
      <c r="A6" s="268"/>
      <c r="B6" s="268"/>
      <c r="D6" s="208"/>
      <c r="E6" s="208"/>
      <c r="F6" s="208"/>
      <c r="G6" s="208"/>
      <c r="H6" s="208"/>
      <c r="I6" s="208"/>
    </row>
    <row r="7" spans="1:19" s="270" customFormat="1" x14ac:dyDescent="0.2">
      <c r="A7" s="268" t="s">
        <v>391</v>
      </c>
      <c r="B7" s="268" t="s">
        <v>349</v>
      </c>
      <c r="C7" s="269" t="s">
        <v>487</v>
      </c>
      <c r="D7" s="215">
        <f t="shared" ref="D7:I7" si="4">D8/12</f>
        <v>4676.6746663104004</v>
      </c>
      <c r="E7" s="215">
        <f t="shared" si="4"/>
        <v>4911.9675635264002</v>
      </c>
      <c r="F7" s="215">
        <f t="shared" si="4"/>
        <v>5154.9440858517337</v>
      </c>
      <c r="G7" s="215">
        <f t="shared" si="4"/>
        <v>5413.1863765546668</v>
      </c>
      <c r="H7" s="215">
        <f t="shared" si="4"/>
        <v>5683.9834207381346</v>
      </c>
      <c r="I7" s="215">
        <f t="shared" si="4"/>
        <v>5968.480513465599</v>
      </c>
      <c r="J7" s="270" t="s">
        <v>10</v>
      </c>
      <c r="M7" s="271" t="s">
        <v>455</v>
      </c>
      <c r="N7" s="272">
        <f>(E7-D7)/D7</f>
        <v>5.0312008853425544E-2</v>
      </c>
      <c r="O7" s="272">
        <f>(F7-E7)/E7</f>
        <v>4.946623103327167E-2</v>
      </c>
      <c r="P7" s="272">
        <f>(G7-F7)/F7</f>
        <v>5.0096041082522171E-2</v>
      </c>
      <c r="Q7" s="272">
        <f>(H7-G7)/G7</f>
        <v>5.0025442566753453E-2</v>
      </c>
      <c r="R7" s="272">
        <f>(I7-H7)/H7</f>
        <v>5.005241424341083E-2</v>
      </c>
    </row>
    <row r="8" spans="1:19" s="270" customFormat="1" x14ac:dyDescent="0.2">
      <c r="A8" s="268"/>
      <c r="B8" s="273"/>
      <c r="C8" s="274" t="s">
        <v>940</v>
      </c>
      <c r="D8" s="208">
        <f t="shared" ref="D8:I8" si="5">D9*2080</f>
        <v>56120.095995724805</v>
      </c>
      <c r="E8" s="208">
        <f t="shared" si="5"/>
        <v>58943.610762316799</v>
      </c>
      <c r="F8" s="208">
        <f t="shared" si="5"/>
        <v>61859.329030220804</v>
      </c>
      <c r="G8" s="208">
        <f t="shared" si="5"/>
        <v>64958.236518656006</v>
      </c>
      <c r="H8" s="208">
        <f t="shared" si="5"/>
        <v>68207.801048857611</v>
      </c>
      <c r="I8" s="208">
        <f t="shared" si="5"/>
        <v>71621.766161587191</v>
      </c>
      <c r="J8" s="270" t="s">
        <v>520</v>
      </c>
      <c r="M8" s="271" t="s">
        <v>456</v>
      </c>
      <c r="N8" s="272">
        <f>(I7-D7)/D7</f>
        <v>0.27622315840377909</v>
      </c>
    </row>
    <row r="9" spans="1:19" s="270" customFormat="1" x14ac:dyDescent="0.2">
      <c r="A9" s="268"/>
      <c r="B9" s="273"/>
      <c r="D9" s="215">
        <f t="shared" ref="D9:I9" si="6">D17*0.8</f>
        <v>26.980815382560003</v>
      </c>
      <c r="E9" s="215">
        <f t="shared" si="6"/>
        <v>28.33827440496</v>
      </c>
      <c r="F9" s="215">
        <f t="shared" si="6"/>
        <v>29.740062033760001</v>
      </c>
      <c r="G9" s="215">
        <f t="shared" si="6"/>
        <v>31.229921403200002</v>
      </c>
      <c r="H9" s="215">
        <f t="shared" si="6"/>
        <v>32.792212042720003</v>
      </c>
      <c r="I9" s="215">
        <f t="shared" si="6"/>
        <v>34.433541423839998</v>
      </c>
      <c r="J9" s="270" t="s">
        <v>11</v>
      </c>
      <c r="M9" s="271" t="s">
        <v>457</v>
      </c>
      <c r="N9" s="272">
        <f t="shared" ref="N9:S9" si="7">(D11-D7)/D7</f>
        <v>6.2499999999999972E-2</v>
      </c>
      <c r="O9" s="272">
        <f t="shared" si="7"/>
        <v>6.2499999999999806E-2</v>
      </c>
      <c r="P9" s="272">
        <f t="shared" si="7"/>
        <v>6.2499999999999827E-2</v>
      </c>
      <c r="Q9" s="272">
        <f t="shared" si="7"/>
        <v>6.2499999999999903E-2</v>
      </c>
      <c r="R9" s="272">
        <f t="shared" si="7"/>
        <v>6.2499999999999688E-2</v>
      </c>
      <c r="S9" s="272">
        <f t="shared" si="7"/>
        <v>6.2500000000000222E-2</v>
      </c>
    </row>
    <row r="10" spans="1:19" s="270" customFormat="1" ht="35.1" customHeight="1" x14ac:dyDescent="0.2">
      <c r="A10" s="268"/>
      <c r="B10" s="273"/>
      <c r="D10" s="215"/>
      <c r="E10" s="215"/>
      <c r="F10" s="215"/>
      <c r="G10" s="215"/>
      <c r="H10" s="215"/>
      <c r="I10" s="215"/>
      <c r="M10" s="271"/>
      <c r="N10" s="272"/>
      <c r="O10" s="272"/>
      <c r="P10" s="272"/>
      <c r="Q10" s="272"/>
      <c r="R10" s="272"/>
      <c r="S10" s="272"/>
    </row>
    <row r="11" spans="1:19" s="270" customFormat="1" x14ac:dyDescent="0.2">
      <c r="A11" s="268" t="s">
        <v>392</v>
      </c>
      <c r="B11" s="268" t="s">
        <v>350</v>
      </c>
      <c r="C11" s="269" t="s">
        <v>447</v>
      </c>
      <c r="D11" s="215">
        <f t="shared" ref="D11:I11" si="8">D12/12</f>
        <v>4968.9668329548003</v>
      </c>
      <c r="E11" s="215">
        <f t="shared" si="8"/>
        <v>5218.9655362467993</v>
      </c>
      <c r="F11" s="215">
        <f t="shared" si="8"/>
        <v>5477.1280912174661</v>
      </c>
      <c r="G11" s="215">
        <f t="shared" si="8"/>
        <v>5751.510525089333</v>
      </c>
      <c r="H11" s="215">
        <f t="shared" si="8"/>
        <v>6039.2323845342662</v>
      </c>
      <c r="I11" s="215">
        <f t="shared" si="8"/>
        <v>6341.5105455572002</v>
      </c>
      <c r="J11" s="270" t="s">
        <v>10</v>
      </c>
      <c r="M11" s="271" t="s">
        <v>455</v>
      </c>
      <c r="N11" s="272">
        <f>(E11-D11)/D11</f>
        <v>5.031200885342537E-2</v>
      </c>
      <c r="O11" s="272">
        <f>(F11-E11)/E11</f>
        <v>4.946623103327169E-2</v>
      </c>
      <c r="P11" s="272">
        <f>(G11-F11)/F11</f>
        <v>5.0096041082522247E-2</v>
      </c>
      <c r="Q11" s="272">
        <f>(H11-G11)/G11</f>
        <v>5.0025442566753245E-2</v>
      </c>
      <c r="R11" s="272">
        <f>(I11-H11)/H11</f>
        <v>5.005241424341135E-2</v>
      </c>
    </row>
    <row r="12" spans="1:19" s="270" customFormat="1" x14ac:dyDescent="0.2">
      <c r="A12" s="268"/>
      <c r="B12" s="273"/>
      <c r="C12" s="270" t="s">
        <v>941</v>
      </c>
      <c r="D12" s="208">
        <f t="shared" ref="D12:I12" si="9">D13*2080</f>
        <v>59627.601995457604</v>
      </c>
      <c r="E12" s="208">
        <f t="shared" si="9"/>
        <v>62627.586434961595</v>
      </c>
      <c r="F12" s="208">
        <f t="shared" si="9"/>
        <v>65725.537094609594</v>
      </c>
      <c r="G12" s="208">
        <f t="shared" si="9"/>
        <v>69018.126301071999</v>
      </c>
      <c r="H12" s="208">
        <f t="shared" si="9"/>
        <v>72470.788614411198</v>
      </c>
      <c r="I12" s="208">
        <f t="shared" si="9"/>
        <v>76098.126546686399</v>
      </c>
      <c r="J12" s="270" t="s">
        <v>520</v>
      </c>
      <c r="M12" s="271" t="s">
        <v>456</v>
      </c>
      <c r="N12" s="272">
        <f>(I11-D11)/D11</f>
        <v>0.27622315840377942</v>
      </c>
    </row>
    <row r="13" spans="1:19" s="270" customFormat="1" x14ac:dyDescent="0.2">
      <c r="A13" s="268"/>
      <c r="B13" s="273"/>
      <c r="D13" s="215">
        <f t="shared" ref="D13:I13" si="10">D17*0.85</f>
        <v>28.667116343970001</v>
      </c>
      <c r="E13" s="215">
        <f t="shared" si="10"/>
        <v>30.109416555269998</v>
      </c>
      <c r="F13" s="215">
        <f t="shared" si="10"/>
        <v>31.598815910869998</v>
      </c>
      <c r="G13" s="215">
        <f t="shared" si="10"/>
        <v>33.181791490899997</v>
      </c>
      <c r="H13" s="215">
        <f t="shared" si="10"/>
        <v>34.841725295389999</v>
      </c>
      <c r="I13" s="215">
        <f t="shared" si="10"/>
        <v>36.585637762829997</v>
      </c>
      <c r="J13" s="270" t="s">
        <v>11</v>
      </c>
      <c r="M13" s="271" t="s">
        <v>457</v>
      </c>
      <c r="N13" s="272">
        <f t="shared" ref="N13:S13" si="11">(D15-D11)/D11</f>
        <v>0.17647058823529424</v>
      </c>
      <c r="O13" s="272">
        <f t="shared" si="11"/>
        <v>0.17647058823529413</v>
      </c>
      <c r="P13" s="272">
        <f t="shared" si="11"/>
        <v>0.17647058823529432</v>
      </c>
      <c r="Q13" s="272">
        <f t="shared" si="11"/>
        <v>0.17647058823529418</v>
      </c>
      <c r="R13" s="272">
        <f t="shared" si="11"/>
        <v>0.17647058823529418</v>
      </c>
      <c r="S13" s="272">
        <f t="shared" si="11"/>
        <v>0.17647058823529399</v>
      </c>
    </row>
    <row r="14" spans="1:19" s="270" customFormat="1" ht="35.1" customHeight="1" x14ac:dyDescent="0.2">
      <c r="A14" s="268"/>
      <c r="B14" s="273"/>
      <c r="D14" s="215"/>
      <c r="E14" s="215"/>
      <c r="F14" s="215"/>
      <c r="G14" s="215"/>
      <c r="H14" s="215"/>
      <c r="I14" s="215"/>
      <c r="M14" s="271"/>
      <c r="N14" s="272"/>
      <c r="O14" s="272"/>
      <c r="P14" s="272"/>
      <c r="Q14" s="272"/>
      <c r="R14" s="272"/>
      <c r="S14" s="272"/>
    </row>
    <row r="15" spans="1:19" s="270" customFormat="1" x14ac:dyDescent="0.2">
      <c r="A15" s="268" t="s">
        <v>393</v>
      </c>
      <c r="B15" s="268" t="s">
        <v>351</v>
      </c>
      <c r="C15" s="269" t="s">
        <v>448</v>
      </c>
      <c r="D15" s="215">
        <f t="shared" ref="D15:I15" si="12">D16/12</f>
        <v>5845.843332888001</v>
      </c>
      <c r="E15" s="215">
        <f t="shared" si="12"/>
        <v>6139.9594544079991</v>
      </c>
      <c r="F15" s="215">
        <f t="shared" si="12"/>
        <v>6443.6801073146671</v>
      </c>
      <c r="G15" s="215">
        <f t="shared" si="12"/>
        <v>6766.4829706933333</v>
      </c>
      <c r="H15" s="215">
        <f t="shared" si="12"/>
        <v>7104.9792759226666</v>
      </c>
      <c r="I15" s="215">
        <f t="shared" si="12"/>
        <v>7460.6006418319994</v>
      </c>
      <c r="J15" s="270" t="s">
        <v>10</v>
      </c>
      <c r="K15" s="275"/>
      <c r="M15" s="271" t="s">
        <v>455</v>
      </c>
      <c r="N15" s="272">
        <f>(E15-D15)/D15</f>
        <v>5.0312008853425266E-2</v>
      </c>
      <c r="O15" s="272">
        <f>(F15-E15)/E15</f>
        <v>4.9466231033271864E-2</v>
      </c>
      <c r="P15" s="272">
        <f>(G15-F15)/F15</f>
        <v>5.0096041082522136E-2</v>
      </c>
      <c r="Q15" s="272">
        <f>(H15-G15)/G15</f>
        <v>5.0025442566753259E-2</v>
      </c>
      <c r="R15" s="272">
        <f>(I15-H15)/H15</f>
        <v>5.0052414243411156E-2</v>
      </c>
    </row>
    <row r="16" spans="1:19" s="270" customFormat="1" x14ac:dyDescent="0.2">
      <c r="A16" s="268"/>
      <c r="B16" s="268" t="s">
        <v>352</v>
      </c>
      <c r="C16" s="269" t="s">
        <v>32</v>
      </c>
      <c r="D16" s="208">
        <f t="shared" ref="D16:I16" si="13">D17*2080</f>
        <v>70150.119994656008</v>
      </c>
      <c r="E16" s="208">
        <f t="shared" si="13"/>
        <v>73679.51345289599</v>
      </c>
      <c r="F16" s="208">
        <f t="shared" si="13"/>
        <v>77324.161287776005</v>
      </c>
      <c r="G16" s="208">
        <f t="shared" si="13"/>
        <v>81197.795648319996</v>
      </c>
      <c r="H16" s="208">
        <f t="shared" si="13"/>
        <v>85259.751311072003</v>
      </c>
      <c r="I16" s="208">
        <f t="shared" si="13"/>
        <v>89527.207701983993</v>
      </c>
      <c r="J16" s="270" t="s">
        <v>520</v>
      </c>
      <c r="M16" s="271" t="s">
        <v>456</v>
      </c>
      <c r="N16" s="272">
        <f>(I15-D15)/D15</f>
        <v>0.27622315840377915</v>
      </c>
    </row>
    <row r="17" spans="1:19" s="270" customFormat="1" x14ac:dyDescent="0.2">
      <c r="A17" s="268"/>
      <c r="B17" s="273"/>
      <c r="C17" s="270" t="s">
        <v>942</v>
      </c>
      <c r="D17" s="215">
        <f>32.8393566*$M$2</f>
        <v>33.726019228200002</v>
      </c>
      <c r="E17" s="215">
        <f>34.4915706*$M$2</f>
        <v>35.422843006199997</v>
      </c>
      <c r="F17" s="215">
        <f>36.1977386*$M$2</f>
        <v>37.1750775422</v>
      </c>
      <c r="G17" s="215">
        <f>38.011102*$M$2</f>
        <v>39.037401754000001</v>
      </c>
      <c r="H17" s="215">
        <f>39.9126242*$M$2</f>
        <v>40.990265053400002</v>
      </c>
      <c r="I17" s="215">
        <f>41.9103474*$M$2</f>
        <v>43.041926779799994</v>
      </c>
      <c r="J17" s="270" t="s">
        <v>11</v>
      </c>
      <c r="M17" s="271" t="s">
        <v>457</v>
      </c>
      <c r="N17" s="272"/>
      <c r="O17" s="272"/>
      <c r="P17" s="272">
        <f>(F19-F15)/F15</f>
        <v>8.9999999999999969E-2</v>
      </c>
      <c r="Q17" s="272">
        <f>(G19-G15)/G15</f>
        <v>9.0000000000000135E-2</v>
      </c>
      <c r="R17" s="272">
        <f>(H19-H15)/H15</f>
        <v>9.0000000000000135E-2</v>
      </c>
      <c r="S17" s="272">
        <f>(I19-I15)/I15</f>
        <v>9.0000000000000066E-2</v>
      </c>
    </row>
    <row r="18" spans="1:19" s="270" customFormat="1" ht="35.1" customHeight="1" x14ac:dyDescent="0.2">
      <c r="A18" s="268"/>
      <c r="B18" s="273"/>
      <c r="D18" s="215"/>
      <c r="E18" s="215"/>
      <c r="F18" s="215"/>
      <c r="G18" s="215"/>
      <c r="H18" s="215"/>
      <c r="I18" s="215"/>
      <c r="J18" s="275"/>
      <c r="M18" s="271"/>
      <c r="N18" s="272"/>
      <c r="O18" s="272"/>
      <c r="P18" s="272"/>
      <c r="Q18" s="272"/>
      <c r="R18" s="272"/>
      <c r="S18" s="272"/>
    </row>
    <row r="19" spans="1:19" s="270" customFormat="1" x14ac:dyDescent="0.2">
      <c r="A19" s="268" t="s">
        <v>394</v>
      </c>
      <c r="B19" s="268" t="s">
        <v>395</v>
      </c>
      <c r="C19" s="269" t="s">
        <v>449</v>
      </c>
      <c r="D19" s="208"/>
      <c r="E19" s="208"/>
      <c r="F19" s="215">
        <f>F20/12</f>
        <v>7023.611316972987</v>
      </c>
      <c r="G19" s="215">
        <f>G20/12</f>
        <v>7375.4664380557342</v>
      </c>
      <c r="H19" s="215">
        <f>H20/12</f>
        <v>7744.4274107557076</v>
      </c>
      <c r="I19" s="215">
        <f>I20/12</f>
        <v>8132.0546995968798</v>
      </c>
      <c r="J19" s="270" t="s">
        <v>10</v>
      </c>
      <c r="M19" s="271" t="s">
        <v>455</v>
      </c>
      <c r="N19" s="272"/>
      <c r="O19" s="272"/>
      <c r="P19" s="272">
        <f>(G19-F19)/F19</f>
        <v>5.0096041082522288E-2</v>
      </c>
      <c r="Q19" s="272">
        <f>(H19-G19)/G19</f>
        <v>5.0025442566753259E-2</v>
      </c>
      <c r="R19" s="272">
        <f>(I19-H19)/H19</f>
        <v>5.0052414243411086E-2</v>
      </c>
    </row>
    <row r="20" spans="1:19" s="270" customFormat="1" x14ac:dyDescent="0.2">
      <c r="A20" s="268"/>
      <c r="B20" s="268" t="s">
        <v>396</v>
      </c>
      <c r="C20" s="269" t="s">
        <v>398</v>
      </c>
      <c r="D20" s="208"/>
      <c r="E20" s="208"/>
      <c r="F20" s="208">
        <f>F21*2080</f>
        <v>84283.335803675844</v>
      </c>
      <c r="G20" s="208">
        <f>G21*2080</f>
        <v>88505.597256668814</v>
      </c>
      <c r="H20" s="208">
        <f>H21*2080</f>
        <v>92933.128929068494</v>
      </c>
      <c r="I20" s="208">
        <f>I21*2080</f>
        <v>97584.656395162558</v>
      </c>
      <c r="J20" s="270" t="s">
        <v>520</v>
      </c>
      <c r="M20" s="271" t="s">
        <v>456</v>
      </c>
      <c r="N20" s="272">
        <f>(I19-F19)/F19</f>
        <v>0.15781673167837057</v>
      </c>
    </row>
    <row r="21" spans="1:19" s="270" customFormat="1" x14ac:dyDescent="0.2">
      <c r="A21" s="268"/>
      <c r="B21" s="273"/>
      <c r="C21" s="270" t="s">
        <v>943</v>
      </c>
      <c r="D21" s="208"/>
      <c r="E21" s="208"/>
      <c r="F21" s="215">
        <f>F17*1.09</f>
        <v>40.520834520998001</v>
      </c>
      <c r="G21" s="215">
        <f>G17*1.09</f>
        <v>42.550767911860007</v>
      </c>
      <c r="H21" s="215">
        <f>H17*1.09</f>
        <v>44.679388908206008</v>
      </c>
      <c r="I21" s="215">
        <f>I17*1.09</f>
        <v>46.915700189981997</v>
      </c>
      <c r="J21" s="270" t="s">
        <v>11</v>
      </c>
      <c r="M21" s="271" t="s">
        <v>457</v>
      </c>
      <c r="N21" s="272"/>
      <c r="O21" s="272"/>
      <c r="P21" s="272">
        <f>(F23-F19)/F19</f>
        <v>4.5871559633027394E-2</v>
      </c>
      <c r="Q21" s="272">
        <f>(G23-G19)/G19</f>
        <v>4.5871559633027449E-2</v>
      </c>
      <c r="R21" s="272">
        <f>(H23-H19)/H19</f>
        <v>4.5871559633027296E-2</v>
      </c>
      <c r="S21" s="272">
        <f>(I23-I19)/I19</f>
        <v>4.5871559633027227E-2</v>
      </c>
    </row>
    <row r="22" spans="1:19" s="270" customFormat="1" ht="35.1" customHeight="1" x14ac:dyDescent="0.2">
      <c r="A22" s="268"/>
      <c r="B22" s="273"/>
      <c r="D22" s="215"/>
      <c r="E22" s="215"/>
      <c r="F22" s="215"/>
      <c r="G22" s="215"/>
      <c r="H22" s="215"/>
      <c r="I22" s="215"/>
      <c r="M22" s="271"/>
      <c r="N22" s="272"/>
      <c r="O22" s="272"/>
      <c r="P22" s="272"/>
      <c r="Q22" s="272"/>
      <c r="R22" s="272"/>
      <c r="S22" s="272"/>
    </row>
    <row r="23" spans="1:19" s="270" customFormat="1" x14ac:dyDescent="0.2">
      <c r="A23" s="268" t="s">
        <v>397</v>
      </c>
      <c r="B23" s="268" t="s">
        <v>353</v>
      </c>
      <c r="C23" s="269" t="s">
        <v>509</v>
      </c>
      <c r="D23" s="208"/>
      <c r="E23" s="208"/>
      <c r="F23" s="215">
        <f>F24/12</f>
        <v>7345.7953223387194</v>
      </c>
      <c r="G23" s="215">
        <f>G24/12</f>
        <v>7713.7905865904004</v>
      </c>
      <c r="H23" s="215">
        <f>H24/12</f>
        <v>8099.6763745518392</v>
      </c>
      <c r="I23" s="215">
        <f>I24/12</f>
        <v>8505.0847316884774</v>
      </c>
      <c r="J23" s="270" t="s">
        <v>10</v>
      </c>
      <c r="M23" s="271" t="s">
        <v>455</v>
      </c>
      <c r="N23" s="272"/>
      <c r="O23" s="272"/>
      <c r="P23" s="272">
        <f>(G23-F23)/F23</f>
        <v>5.0096041082522344E-2</v>
      </c>
      <c r="Q23" s="272">
        <f>(H23-G23)/G23</f>
        <v>5.0025442566753106E-2</v>
      </c>
      <c r="R23" s="272">
        <f>(I23-H23)/H23</f>
        <v>5.0052414243411017E-2</v>
      </c>
    </row>
    <row r="24" spans="1:19" s="270" customFormat="1" x14ac:dyDescent="0.2">
      <c r="A24" s="268"/>
      <c r="B24" s="273"/>
      <c r="C24" s="276" t="s">
        <v>944</v>
      </c>
      <c r="D24" s="208"/>
      <c r="E24" s="208"/>
      <c r="F24" s="208">
        <f>F25*2080</f>
        <v>88149.543868064633</v>
      </c>
      <c r="G24" s="208">
        <f>G25*2080</f>
        <v>92565.487039084808</v>
      </c>
      <c r="H24" s="208">
        <f>H25*2080</f>
        <v>97196.116494622067</v>
      </c>
      <c r="I24" s="208">
        <f>I25*2080</f>
        <v>102061.01678026174</v>
      </c>
      <c r="J24" s="270" t="s">
        <v>520</v>
      </c>
      <c r="M24" s="271" t="s">
        <v>456</v>
      </c>
      <c r="N24" s="272">
        <f>(I23-F23)/F23</f>
        <v>0.15781673167837038</v>
      </c>
    </row>
    <row r="25" spans="1:19" s="270" customFormat="1" x14ac:dyDescent="0.2">
      <c r="A25" s="273"/>
      <c r="B25" s="273"/>
      <c r="D25" s="208"/>
      <c r="E25" s="208"/>
      <c r="F25" s="215">
        <f>F17*1.14</f>
        <v>42.379588398107998</v>
      </c>
      <c r="G25" s="215">
        <f>G17*1.14</f>
        <v>44.502637999560001</v>
      </c>
      <c r="H25" s="215">
        <f>H17*1.14</f>
        <v>46.728902160875997</v>
      </c>
      <c r="I25" s="215">
        <f>I17*1.14</f>
        <v>49.067796528971989</v>
      </c>
      <c r="J25" s="270" t="s">
        <v>11</v>
      </c>
    </row>
    <row r="26" spans="1:19" s="270" customFormat="1" ht="35.1" customHeight="1" x14ac:dyDescent="0.3">
      <c r="A26" s="277"/>
      <c r="B26" s="215"/>
      <c r="C26" s="278"/>
      <c r="D26" s="215"/>
      <c r="E26" s="215"/>
      <c r="F26" s="215"/>
      <c r="G26" s="279"/>
      <c r="H26" s="279"/>
      <c r="I26" s="279"/>
    </row>
    <row r="27" spans="1:19" x14ac:dyDescent="0.2">
      <c r="A27" s="208"/>
      <c r="B27" s="208"/>
      <c r="C27" s="208"/>
      <c r="D27" s="208"/>
      <c r="E27" s="208"/>
      <c r="F27" s="208"/>
    </row>
    <row r="28" spans="1:19" x14ac:dyDescent="0.2">
      <c r="A28" s="215"/>
      <c r="B28" s="215"/>
      <c r="C28" s="215"/>
      <c r="D28" s="215"/>
      <c r="E28" s="215"/>
      <c r="F28" s="215"/>
      <c r="G28" s="215"/>
      <c r="H28" s="215"/>
    </row>
    <row r="29" spans="1:19" x14ac:dyDescent="0.2">
      <c r="A29" s="208"/>
      <c r="B29" s="208"/>
      <c r="C29" s="208"/>
      <c r="D29" s="208"/>
      <c r="E29" s="208"/>
      <c r="F29" s="208"/>
    </row>
    <row r="30" spans="1:19" x14ac:dyDescent="0.2">
      <c r="A30" s="215"/>
      <c r="B30" s="215"/>
      <c r="C30" s="215"/>
      <c r="D30" s="215"/>
      <c r="E30" s="215"/>
      <c r="F30" s="215"/>
    </row>
    <row r="31" spans="1:19" x14ac:dyDescent="0.2">
      <c r="A31" s="208"/>
      <c r="B31" s="208"/>
      <c r="C31" s="208"/>
      <c r="D31" s="208"/>
      <c r="E31" s="208"/>
      <c r="F31" s="208"/>
      <c r="G31" s="281"/>
    </row>
    <row r="32" spans="1:19" x14ac:dyDescent="0.2">
      <c r="A32" s="215"/>
      <c r="B32" s="215"/>
      <c r="C32" s="215"/>
      <c r="D32" s="215"/>
      <c r="E32" s="215"/>
      <c r="F32" s="215"/>
    </row>
    <row r="33" spans="1:19" s="280" customFormat="1" x14ac:dyDescent="0.2">
      <c r="A33" s="215"/>
      <c r="B33" s="215"/>
      <c r="C33" s="215"/>
      <c r="D33" s="215"/>
      <c r="E33" s="215"/>
      <c r="F33" s="215"/>
      <c r="J33" s="209"/>
      <c r="K33" s="209"/>
      <c r="L33" s="209"/>
      <c r="M33" s="209"/>
      <c r="N33" s="209"/>
      <c r="O33" s="209"/>
      <c r="P33" s="209"/>
      <c r="Q33" s="209"/>
      <c r="R33" s="209"/>
      <c r="S33" s="209"/>
    </row>
    <row r="34" spans="1:19" s="280" customFormat="1" x14ac:dyDescent="0.2">
      <c r="A34" s="215"/>
      <c r="B34" s="215"/>
      <c r="C34" s="215"/>
      <c r="D34" s="215"/>
      <c r="E34" s="215"/>
      <c r="F34" s="215"/>
      <c r="J34" s="209"/>
      <c r="K34" s="209"/>
      <c r="L34" s="209"/>
      <c r="M34" s="209"/>
      <c r="N34" s="209"/>
      <c r="O34" s="209"/>
      <c r="P34" s="209"/>
      <c r="Q34" s="209"/>
      <c r="R34" s="209"/>
      <c r="S34" s="209"/>
    </row>
    <row r="35" spans="1:19" s="280" customFormat="1" x14ac:dyDescent="0.2">
      <c r="A35" s="208"/>
      <c r="B35" s="208"/>
      <c r="C35" s="208"/>
      <c r="D35" s="208"/>
      <c r="E35" s="208"/>
      <c r="F35" s="208"/>
      <c r="J35" s="209"/>
      <c r="K35" s="209"/>
      <c r="L35" s="209"/>
      <c r="M35" s="209"/>
      <c r="N35" s="209"/>
      <c r="O35" s="209"/>
      <c r="P35" s="209"/>
      <c r="Q35" s="209"/>
      <c r="R35" s="209"/>
      <c r="S35" s="209"/>
    </row>
    <row r="36" spans="1:19" s="280" customFormat="1" x14ac:dyDescent="0.2">
      <c r="A36" s="215"/>
      <c r="B36" s="215"/>
      <c r="C36" s="215"/>
      <c r="D36" s="215"/>
      <c r="E36" s="215"/>
      <c r="F36" s="215"/>
      <c r="J36" s="209"/>
      <c r="K36" s="209"/>
      <c r="L36" s="209"/>
      <c r="M36" s="209"/>
      <c r="N36" s="209"/>
      <c r="O36" s="209"/>
      <c r="P36" s="209"/>
      <c r="Q36" s="209"/>
      <c r="R36" s="209"/>
      <c r="S36" s="209"/>
    </row>
    <row r="37" spans="1:19" s="280" customFormat="1" x14ac:dyDescent="0.2">
      <c r="A37" s="215"/>
      <c r="B37" s="215"/>
      <c r="C37" s="215"/>
      <c r="D37" s="215"/>
      <c r="E37" s="215"/>
      <c r="F37" s="215"/>
      <c r="J37" s="209"/>
      <c r="K37" s="209"/>
      <c r="L37" s="209"/>
      <c r="M37" s="209"/>
      <c r="N37" s="209"/>
      <c r="O37" s="209"/>
      <c r="P37" s="209"/>
      <c r="Q37" s="209"/>
      <c r="R37" s="209"/>
      <c r="S37" s="209"/>
    </row>
    <row r="38" spans="1:19" s="280" customFormat="1" x14ac:dyDescent="0.2">
      <c r="A38" s="215"/>
      <c r="B38" s="215"/>
      <c r="C38" s="215"/>
      <c r="D38" s="215"/>
      <c r="E38" s="215"/>
      <c r="F38" s="215"/>
      <c r="J38" s="209"/>
      <c r="K38" s="209"/>
      <c r="L38" s="209"/>
      <c r="M38" s="209"/>
      <c r="N38" s="209"/>
      <c r="O38" s="209"/>
      <c r="P38" s="209"/>
      <c r="Q38" s="209"/>
      <c r="R38" s="209"/>
      <c r="S38" s="209"/>
    </row>
    <row r="39" spans="1:19" s="280" customFormat="1" x14ac:dyDescent="0.2">
      <c r="A39" s="208"/>
      <c r="B39" s="208"/>
      <c r="C39" s="208"/>
      <c r="D39" s="208"/>
      <c r="E39" s="208"/>
      <c r="F39" s="208"/>
      <c r="J39" s="209"/>
      <c r="K39" s="209"/>
      <c r="L39" s="209"/>
      <c r="M39" s="209"/>
      <c r="N39" s="209"/>
      <c r="O39" s="209"/>
      <c r="P39" s="209"/>
      <c r="Q39" s="209"/>
      <c r="R39" s="209"/>
      <c r="S39" s="209"/>
    </row>
    <row r="40" spans="1:19" s="280" customFormat="1" x14ac:dyDescent="0.2">
      <c r="A40" s="215"/>
      <c r="B40" s="215"/>
      <c r="C40" s="215"/>
      <c r="D40" s="215"/>
      <c r="E40" s="215"/>
      <c r="F40" s="215"/>
      <c r="J40" s="209"/>
      <c r="K40" s="209"/>
      <c r="L40" s="209"/>
      <c r="M40" s="209"/>
      <c r="N40" s="209"/>
      <c r="O40" s="209"/>
      <c r="P40" s="209"/>
      <c r="Q40" s="209"/>
      <c r="R40" s="209"/>
      <c r="S40" s="209"/>
    </row>
    <row r="41" spans="1:19" s="280" customFormat="1" x14ac:dyDescent="0.2">
      <c r="A41" s="215"/>
      <c r="B41" s="215"/>
      <c r="C41" s="215"/>
      <c r="D41" s="215"/>
      <c r="E41" s="215"/>
      <c r="F41" s="215"/>
      <c r="J41" s="209"/>
      <c r="K41" s="209"/>
      <c r="L41" s="209"/>
      <c r="M41" s="209"/>
      <c r="N41" s="209"/>
      <c r="O41" s="209"/>
      <c r="P41" s="209"/>
      <c r="Q41" s="209"/>
      <c r="R41" s="209"/>
      <c r="S41" s="209"/>
    </row>
    <row r="42" spans="1:19" s="280" customFormat="1" x14ac:dyDescent="0.2">
      <c r="A42" s="208"/>
      <c r="B42" s="208"/>
      <c r="C42" s="215"/>
      <c r="D42" s="215"/>
      <c r="E42" s="215"/>
      <c r="F42" s="215"/>
      <c r="J42" s="209"/>
      <c r="K42" s="209"/>
      <c r="L42" s="209"/>
      <c r="M42" s="209"/>
      <c r="N42" s="209"/>
      <c r="O42" s="209"/>
      <c r="P42" s="209"/>
      <c r="Q42" s="209"/>
      <c r="R42" s="209"/>
      <c r="S42" s="209"/>
    </row>
    <row r="43" spans="1:19" s="280" customFormat="1" x14ac:dyDescent="0.2">
      <c r="A43" s="208"/>
      <c r="B43" s="208"/>
      <c r="C43" s="208"/>
      <c r="D43" s="208"/>
      <c r="E43" s="208"/>
      <c r="F43" s="208"/>
      <c r="J43" s="209"/>
      <c r="K43" s="209"/>
      <c r="L43" s="209"/>
      <c r="M43" s="209"/>
      <c r="N43" s="209"/>
      <c r="O43" s="209"/>
      <c r="P43" s="209"/>
      <c r="Q43" s="209"/>
      <c r="R43" s="209"/>
      <c r="S43" s="209"/>
    </row>
    <row r="44" spans="1:19" s="280" customFormat="1" x14ac:dyDescent="0.2">
      <c r="A44" s="208"/>
      <c r="B44" s="208"/>
      <c r="C44" s="215"/>
      <c r="D44" s="215"/>
      <c r="E44" s="215"/>
      <c r="F44" s="215"/>
      <c r="J44" s="209"/>
      <c r="K44" s="209"/>
      <c r="L44" s="209"/>
      <c r="M44" s="209"/>
      <c r="N44" s="209"/>
      <c r="O44" s="209"/>
      <c r="P44" s="209"/>
      <c r="Q44" s="209"/>
      <c r="R44" s="209"/>
      <c r="S44" s="209"/>
    </row>
    <row r="45" spans="1:19" s="280" customFormat="1" x14ac:dyDescent="0.2">
      <c r="A45" s="215"/>
      <c r="B45" s="215"/>
      <c r="C45" s="215"/>
      <c r="D45" s="215"/>
      <c r="E45" s="215"/>
      <c r="F45" s="215"/>
      <c r="J45" s="209"/>
      <c r="K45" s="209"/>
      <c r="L45" s="209"/>
      <c r="M45" s="209"/>
      <c r="N45" s="209"/>
      <c r="O45" s="209"/>
      <c r="P45" s="209"/>
      <c r="Q45" s="209"/>
      <c r="R45" s="209"/>
      <c r="S45" s="209"/>
    </row>
    <row r="46" spans="1:19" s="280" customFormat="1" x14ac:dyDescent="0.2">
      <c r="A46" s="208"/>
      <c r="B46" s="208"/>
      <c r="C46" s="215"/>
      <c r="D46" s="215"/>
      <c r="E46" s="215"/>
      <c r="F46" s="215"/>
      <c r="J46" s="209"/>
      <c r="K46" s="209"/>
      <c r="L46" s="209"/>
      <c r="M46" s="209"/>
      <c r="N46" s="209"/>
      <c r="O46" s="209"/>
      <c r="P46" s="209"/>
      <c r="Q46" s="209"/>
      <c r="R46" s="209"/>
      <c r="S46" s="209"/>
    </row>
    <row r="47" spans="1:19" s="280" customFormat="1" x14ac:dyDescent="0.2">
      <c r="A47" s="208"/>
      <c r="B47" s="208"/>
      <c r="C47" s="208"/>
      <c r="D47" s="208"/>
      <c r="E47" s="208"/>
      <c r="F47" s="208"/>
      <c r="J47" s="209"/>
      <c r="K47" s="209"/>
      <c r="L47" s="209"/>
      <c r="M47" s="209"/>
      <c r="N47" s="209"/>
      <c r="O47" s="209"/>
      <c r="P47" s="209"/>
      <c r="Q47" s="209"/>
      <c r="R47" s="209"/>
      <c r="S47" s="209"/>
    </row>
    <row r="48" spans="1:19" s="280" customFormat="1" x14ac:dyDescent="0.2">
      <c r="A48" s="208"/>
      <c r="B48" s="208"/>
      <c r="C48" s="215"/>
      <c r="D48" s="215"/>
      <c r="E48" s="215"/>
      <c r="F48" s="215"/>
      <c r="J48" s="209"/>
      <c r="K48" s="209"/>
      <c r="L48" s="209"/>
      <c r="M48" s="209"/>
      <c r="N48" s="209"/>
      <c r="O48" s="209"/>
      <c r="P48" s="209"/>
      <c r="Q48" s="209"/>
      <c r="R48" s="209"/>
      <c r="S48" s="209"/>
    </row>
    <row r="49" spans="1:19" s="280" customFormat="1" x14ac:dyDescent="0.2">
      <c r="A49" s="279"/>
      <c r="B49" s="279"/>
      <c r="C49" s="279"/>
      <c r="D49" s="279"/>
      <c r="E49" s="279"/>
      <c r="F49" s="279"/>
      <c r="J49" s="209"/>
      <c r="K49" s="209"/>
      <c r="L49" s="209"/>
      <c r="M49" s="209"/>
      <c r="N49" s="209"/>
      <c r="O49" s="209"/>
      <c r="P49" s="209"/>
      <c r="Q49" s="209"/>
      <c r="R49" s="209"/>
      <c r="S49" s="209"/>
    </row>
    <row r="61" spans="1:19" x14ac:dyDescent="0.2">
      <c r="I61" s="436"/>
    </row>
    <row r="77" spans="9:9" x14ac:dyDescent="0.2">
      <c r="I77" s="436"/>
    </row>
    <row r="216" spans="9:9" x14ac:dyDescent="0.2">
      <c r="I216" s="436"/>
    </row>
  </sheetData>
  <customSheetViews>
    <customSheetView guid="{03674138-A9FA-46A6-AB09-A74C70852C0D}" showPageBreaks="1" printArea="1" view="pageLayout">
      <selection activeCell="E10" sqref="E10"/>
      <pageMargins left="0.25" right="0.25" top="2" bottom="1" header="0.5" footer="0.5"/>
      <printOptions horizontalCentered="1" gridLines="1"/>
      <pageSetup scale="83" orientation="portrait" r:id="rId1"/>
      <headerFooter alignWithMargins="0">
        <oddHeader>&amp;L&amp;"Times New Roman,Regular"Ordinance #  (budget adoption)
Resolution #8915 (contract adoption)&amp;C&amp;"Times New Roman,Bold"&amp;16
ATTACHMENT I
2016 CITY OF BELLEVUE PAY PLANS
INTERNATIONAL BROTHERHOOD OF ELECTRICAL WORKERS, LOCAL #77
SIGNALS AND ELECTRONICS</oddHeader>
        <oddFooter>&amp;C&amp;"Times New Roman,Bold"&amp;16&amp;A</oddFooter>
      </headerFooter>
    </customSheetView>
    <customSheetView guid="{6140C585-A678-4296-91B8-0C17DF653D09}" scale="110" showPageBreaks="1" printArea="1" view="pageLayout" topLeftCell="A7">
      <selection sqref="A1:A2"/>
      <pageMargins left="0.25" right="0.25" top="2" bottom="1" header="0.5" footer="0.5"/>
      <printOptions horizontalCentered="1" gridLines="1"/>
      <pageSetup scale="83" orientation="portrait" r:id="rId2"/>
      <headerFooter alignWithMargins="0">
        <oddHeader>&amp;LOrdinance #  (budget adoption)
Resolution #8915 (contract adoption)&amp;C&amp;"Arial,Bold"&amp;16
2016 CITY OF BELLEVUE PAY PLANS
&amp;14INTERNATIONAL BROTHERHOOD OF ELECTRICAL WORKERS, LOCAL #77
SIGNALS AND ELECTRONICS</oddHeader>
        <oddFooter>&amp;C&amp;"Arial,Bold"&amp;16&amp;A&amp;REffective 01/01/16
System Update 01/xx/16</oddFooter>
      </headerFooter>
    </customSheetView>
    <customSheetView guid="{49073133-97C6-4E81-BEFE-D9E658C173F7}" scale="110" showPageBreaks="1" printArea="1" view="pageLayout">
      <selection sqref="A1:A2"/>
      <pageMargins left="0.25" right="0.25" top="2" bottom="1" header="0.5" footer="0.5"/>
      <printOptions horizontalCentered="1" gridLines="1"/>
      <pageSetup scale="83" orientation="portrait" r:id="rId3"/>
      <headerFooter alignWithMargins="0">
        <oddHeader>&amp;LOrdinance #  (budget adoption)
Resolution #8915 (contract adoption)&amp;C&amp;"Arial,Bold"&amp;16
2016 CITY OF BELLEVUE PAY PLANS
&amp;14INTERNATIONAL BROTHERHOOD OF ELECTRICAL WORKERS, LOCAL #77
SIGNALS AND ELECTRONICS</oddHeader>
        <oddFooter>&amp;C&amp;"Arial,Bold"&amp;16&amp;A&amp;REffective 01/01/16
System Update 01/xx/16</oddFooter>
      </headerFooter>
    </customSheetView>
  </customSheetViews>
  <mergeCells count="5">
    <mergeCell ref="N1:S1"/>
    <mergeCell ref="A1:A2"/>
    <mergeCell ref="B1:B2"/>
    <mergeCell ref="C1:C2"/>
    <mergeCell ref="D1:I1"/>
  </mergeCells>
  <printOptions horizontalCentered="1" gridLines="1"/>
  <pageMargins left="0.25" right="0.25" top="2" bottom="1" header="0.5" footer="0.5"/>
  <pageSetup scale="83" orientation="portrait" r:id="rId4"/>
  <headerFooter alignWithMargins="0">
    <oddHeader>&amp;LOrdinance # (pay plan adoption)
Resolution #8915 (2016-18 CBA adoption)&amp;C&amp;"Times New Roman,Bold"&amp;14
2018 CITY OF BELLEVUE PAY PLANS
INTERNATIONAL BROTHERHOOD OF ELECTRICAL WORKERS, LOCAL #77
SIGNALS AND ELECTRONICS</oddHeader>
    <oddFooter>&amp;C&amp;"Times New Roman,Bold"&amp;16&amp;A&amp;R&amp;"Times New Roman,Regular"Effective 01/01/18
System Update 01/xx/18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92D050"/>
  </sheetPr>
  <dimension ref="A1:L216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7.7109375" style="186" customWidth="1"/>
    <col min="2" max="2" width="2.7109375" style="186" customWidth="1"/>
    <col min="3" max="3" width="8.28515625" style="186" customWidth="1"/>
    <col min="4" max="4" width="40.7109375" style="160" customWidth="1"/>
    <col min="5" max="5" width="12.85546875" style="187" customWidth="1"/>
    <col min="6" max="6" width="12.7109375" style="160" customWidth="1"/>
    <col min="7" max="7" width="10.7109375" style="160" customWidth="1"/>
    <col min="8" max="9" width="9.140625" style="160"/>
    <col min="10" max="10" width="17" style="160" bestFit="1" customWidth="1"/>
    <col min="11" max="16384" width="9.140625" style="160"/>
  </cols>
  <sheetData>
    <row r="1" spans="1:12" s="174" customFormat="1" x14ac:dyDescent="0.2">
      <c r="A1" s="709" t="s">
        <v>550</v>
      </c>
      <c r="B1" s="707"/>
      <c r="C1" s="707" t="s">
        <v>0</v>
      </c>
      <c r="D1" s="707" t="s">
        <v>1</v>
      </c>
      <c r="E1" s="716" t="s">
        <v>2</v>
      </c>
      <c r="F1" s="716"/>
      <c r="G1" s="234">
        <v>2019</v>
      </c>
      <c r="J1" s="244">
        <v>2019</v>
      </c>
    </row>
    <row r="2" spans="1:12" s="177" customFormat="1" x14ac:dyDescent="0.2">
      <c r="A2" s="708"/>
      <c r="B2" s="708"/>
      <c r="C2" s="708"/>
      <c r="D2" s="710"/>
      <c r="E2" s="236">
        <v>1</v>
      </c>
      <c r="F2" s="283">
        <v>2</v>
      </c>
      <c r="G2" s="236"/>
      <c r="H2" s="417"/>
      <c r="J2" s="284">
        <v>1.046</v>
      </c>
    </row>
    <row r="3" spans="1:12" x14ac:dyDescent="0.2">
      <c r="A3" s="163" t="s">
        <v>80</v>
      </c>
      <c r="B3" s="163" t="s">
        <v>88</v>
      </c>
      <c r="C3" s="179" t="s">
        <v>354</v>
      </c>
      <c r="D3" s="167" t="s">
        <v>33</v>
      </c>
      <c r="E3" s="285">
        <f>ROUND(10071.436*$J$2,3)</f>
        <v>10534.722</v>
      </c>
      <c r="F3" s="285">
        <f>ROUND(10575.049*$J$2,3)</f>
        <v>11061.501</v>
      </c>
      <c r="G3" s="167" t="s">
        <v>10</v>
      </c>
      <c r="H3" s="418"/>
      <c r="J3" s="228" t="s">
        <v>455</v>
      </c>
      <c r="K3" s="204">
        <f>(F3-E3)/E3</f>
        <v>5.0004072247943558E-2</v>
      </c>
    </row>
    <row r="4" spans="1:12" x14ac:dyDescent="0.2">
      <c r="A4" s="163"/>
      <c r="B4" s="163"/>
      <c r="C4" s="163"/>
      <c r="D4" s="167"/>
      <c r="E4" s="285">
        <f>E3*12</f>
        <v>126416.66399999999</v>
      </c>
      <c r="F4" s="285">
        <f>F3*12</f>
        <v>132738.01199999999</v>
      </c>
      <c r="G4" s="167" t="s">
        <v>520</v>
      </c>
      <c r="H4" s="418"/>
      <c r="J4" s="228" t="s">
        <v>456</v>
      </c>
      <c r="K4" s="204">
        <f>(F3-E3)/E3</f>
        <v>5.0004072247943558E-2</v>
      </c>
    </row>
    <row r="5" spans="1:12" x14ac:dyDescent="0.2">
      <c r="A5" s="163"/>
      <c r="B5" s="163"/>
      <c r="C5" s="163"/>
      <c r="D5" s="167"/>
      <c r="E5" s="215">
        <f>E4/2080</f>
        <v>60.777242307692305</v>
      </c>
      <c r="F5" s="215">
        <f>F4/2080</f>
        <v>63.816351923076915</v>
      </c>
      <c r="G5" s="167" t="s">
        <v>11</v>
      </c>
      <c r="H5" s="418"/>
      <c r="J5" s="228" t="s">
        <v>457</v>
      </c>
      <c r="K5" s="204">
        <f>(E7-E3)/E3</f>
        <v>0.13571226654106305</v>
      </c>
      <c r="L5" s="204">
        <f>(F7-F3)/F3</f>
        <v>0.13568104364859698</v>
      </c>
    </row>
    <row r="6" spans="1:12" ht="35.1" customHeight="1" x14ac:dyDescent="0.2">
      <c r="A6" s="163"/>
      <c r="B6" s="163"/>
      <c r="C6" s="163"/>
      <c r="D6" s="167"/>
      <c r="E6" s="285"/>
      <c r="F6" s="285"/>
      <c r="G6" s="167"/>
      <c r="H6" s="418"/>
      <c r="J6" s="228"/>
      <c r="K6" s="204"/>
    </row>
    <row r="7" spans="1:12" x14ac:dyDescent="0.2">
      <c r="A7" s="163" t="s">
        <v>81</v>
      </c>
      <c r="B7" s="163" t="s">
        <v>88</v>
      </c>
      <c r="C7" s="179" t="s">
        <v>355</v>
      </c>
      <c r="D7" s="167" t="s">
        <v>34</v>
      </c>
      <c r="E7" s="285">
        <f>ROUND(11438.253*$J$2,3)</f>
        <v>11964.413</v>
      </c>
      <c r="F7" s="285">
        <f>ROUND(12009.882*$J$2,3)</f>
        <v>12562.337</v>
      </c>
      <c r="G7" s="167" t="s">
        <v>10</v>
      </c>
      <c r="J7" s="228" t="s">
        <v>455</v>
      </c>
      <c r="K7" s="204">
        <f>(F7-E7)/E7</f>
        <v>4.9975205636916667E-2</v>
      </c>
    </row>
    <row r="8" spans="1:12" x14ac:dyDescent="0.2">
      <c r="A8" s="163"/>
      <c r="B8" s="163"/>
      <c r="C8" s="179"/>
      <c r="D8" s="167"/>
      <c r="E8" s="285">
        <f>E7*12</f>
        <v>143572.95600000001</v>
      </c>
      <c r="F8" s="285">
        <f>F7*12</f>
        <v>150748.04399999999</v>
      </c>
      <c r="G8" s="167" t="s">
        <v>520</v>
      </c>
      <c r="J8" s="228" t="s">
        <v>456</v>
      </c>
      <c r="K8" s="204">
        <f>(F7-E7)/E7</f>
        <v>4.9975205636916667E-2</v>
      </c>
    </row>
    <row r="9" spans="1:12" x14ac:dyDescent="0.2">
      <c r="A9" s="163"/>
      <c r="B9" s="163"/>
      <c r="C9" s="179"/>
      <c r="D9" s="167"/>
      <c r="E9" s="215">
        <f>E8/2080</f>
        <v>69.025459615384619</v>
      </c>
      <c r="F9" s="215">
        <f>F8/2080</f>
        <v>72.475021153846157</v>
      </c>
      <c r="G9" s="167" t="s">
        <v>11</v>
      </c>
      <c r="J9" s="228"/>
      <c r="K9" s="204"/>
      <c r="L9" s="204"/>
    </row>
    <row r="10" spans="1:12" ht="35.1" customHeight="1" x14ac:dyDescent="0.25">
      <c r="A10" s="286"/>
      <c r="B10" s="163"/>
      <c r="C10" s="287"/>
      <c r="D10" s="167"/>
      <c r="E10" s="285"/>
      <c r="F10" s="285"/>
      <c r="G10" s="167"/>
    </row>
    <row r="12" spans="1:12" x14ac:dyDescent="0.2">
      <c r="D12" s="167"/>
      <c r="E12" s="285"/>
      <c r="F12" s="285"/>
      <c r="G12" s="167"/>
    </row>
    <row r="13" spans="1:12" x14ac:dyDescent="0.2">
      <c r="D13" s="167"/>
      <c r="E13" s="171"/>
      <c r="F13" s="398"/>
      <c r="G13" s="167"/>
    </row>
    <row r="14" spans="1:12" x14ac:dyDescent="0.2">
      <c r="D14" s="167"/>
      <c r="E14" s="285"/>
      <c r="F14" s="285"/>
      <c r="G14" s="167"/>
    </row>
    <row r="15" spans="1:12" x14ac:dyDescent="0.2">
      <c r="D15" s="167"/>
      <c r="E15" s="285"/>
      <c r="F15" s="285"/>
      <c r="G15" s="167"/>
    </row>
    <row r="16" spans="1:12" x14ac:dyDescent="0.2">
      <c r="D16" s="167"/>
      <c r="E16" s="215"/>
      <c r="F16" s="215"/>
      <c r="G16" s="167"/>
    </row>
    <row r="17" spans="4:7" x14ac:dyDescent="0.2">
      <c r="D17" s="167"/>
      <c r="E17" s="171"/>
      <c r="F17" s="167"/>
      <c r="G17" s="167"/>
    </row>
    <row r="18" spans="4:7" x14ac:dyDescent="0.2">
      <c r="D18" s="167"/>
      <c r="E18" s="171"/>
      <c r="F18" s="167"/>
      <c r="G18" s="167"/>
    </row>
    <row r="19" spans="4:7" x14ac:dyDescent="0.2">
      <c r="D19" s="167"/>
      <c r="E19" s="171"/>
      <c r="F19" s="167"/>
      <c r="G19" s="167"/>
    </row>
    <row r="61" spans="9:9" x14ac:dyDescent="0.2">
      <c r="I61" s="437"/>
    </row>
    <row r="77" spans="9:9" x14ac:dyDescent="0.2">
      <c r="I77" s="437"/>
    </row>
    <row r="216" spans="9:9" x14ac:dyDescent="0.2">
      <c r="I216" s="437"/>
    </row>
  </sheetData>
  <customSheetViews>
    <customSheetView guid="{03674138-A9FA-46A6-AB09-A74C70852C0D}" showPageBreaks="1" printArea="1" view="pageLayout">
      <selection activeCell="D14" sqref="D14"/>
      <pageMargins left="0.25" right="0.25" top="2" bottom="1" header="0.5" footer="0.5"/>
      <printOptions horizontalCentered="1" gridLines="1"/>
      <pageSetup orientation="portrait" r:id="rId1"/>
      <headerFooter alignWithMargins="0">
        <oddHeader>&amp;L&amp;"Times New Roman,Regular"Ordinance #  (budget adoption)
Resolution # 8961 (contract adoption)&amp;C&amp;"Times New Roman,Bold"&amp;16
ATTACHMENT I
2016 CITY OF BELLEVUE PAY PLANS
BELLEVUE POLICE MANAGEMENT ASSOCIATION
POLICE CAPTAINS AND MAJORS</oddHeader>
        <oddFooter>&amp;L&amp;"Times New Roman,Regular"* Position is exempt from overtime.&amp;C&amp;"Times New Roman,Bold"&amp;16&amp;A</oddFooter>
      </headerFooter>
    </customSheetView>
    <customSheetView guid="{6140C585-A678-4296-91B8-0C17DF653D09}" showPageBreaks="1" printArea="1" view="pageLayout">
      <selection sqref="A1:A2"/>
      <pageMargins left="0.25" right="0.25" top="2" bottom="1" header="0.5" footer="0.5"/>
      <printOptions horizontalCentered="1" gridLines="1"/>
      <pageSetup orientation="portrait" r:id="rId2"/>
      <headerFooter alignWithMargins="0">
        <oddHeader>&amp;LOrdinance #  (budget adoption)
Resolution # 8961 (contract adoption)&amp;C&amp;"Arial,Bold"&amp;16
2016 CITY OF BELLEVUE PAY PLANS
&amp;14BELLEVUE POLICE MANAGEMENT ASSOCIATION
POLICE CAPTAINS AND MAJORS</oddHeader>
        <oddFooter>&amp;L* Position is exempt from overtime.&amp;C&amp;"Arial,Bold"&amp;16&amp;A&amp;REffective 01/01/16
System Update 01/xx/16</oddFooter>
      </headerFooter>
    </customSheetView>
    <customSheetView guid="{49073133-97C6-4E81-BEFE-D9E658C173F7}" showPageBreaks="1" printArea="1" view="pageLayout">
      <selection sqref="A1:A2"/>
      <pageMargins left="0.25" right="0.25" top="2" bottom="1" header="0.5" footer="0.5"/>
      <printOptions horizontalCentered="1" gridLines="1"/>
      <pageSetup orientation="portrait" r:id="rId3"/>
      <headerFooter alignWithMargins="0">
        <oddHeader>&amp;LOrdinance #  (budget adoption)
Resolution # 8961 (contract adoption)&amp;C&amp;"Arial,Bold"&amp;16
2016 CITY OF BELLEVUE PAY PLANS
&amp;14BELLEVUE POLICE MANAGEMENT ASSOCIATION
POLICE CAPTAINS AND MAJORS</oddHeader>
        <oddFooter>&amp;L* Position is exempt from overtime.&amp;C&amp;"Arial,Bold"&amp;16&amp;A&amp;REffective 01/01/16
System Update 01/xx/16</oddFooter>
      </headerFooter>
    </customSheetView>
  </customSheetViews>
  <mergeCells count="5">
    <mergeCell ref="E1:F1"/>
    <mergeCell ref="A1:A2"/>
    <mergeCell ref="C1:C2"/>
    <mergeCell ref="D1:D2"/>
    <mergeCell ref="B1:B2"/>
  </mergeCells>
  <phoneticPr fontId="7" type="noConversion"/>
  <printOptions horizontalCentered="1" gridLines="1"/>
  <pageMargins left="0.25" right="0.25" top="2" bottom="1" header="0.5" footer="0.5"/>
  <pageSetup orientation="portrait" r:id="rId4"/>
  <headerFooter alignWithMargins="0">
    <oddHeader>&amp;LResolution # 9518 (4/1/18-12/31/2021 CBA adoption)&amp;C&amp;"Times New Roman,Bold"&amp;14
2019 CITY OF BELLEVUE PAY PLANS
BELLEVUE POLICE MANAGEMENT ASSOCIATION
POLICE CAPTAINS AND MAJORS</oddHeader>
    <oddFooter>&amp;L&amp;"Times New Roman,Regular"* Position is exempt from overtime.&amp;C&amp;"Times New Roman,Bold"&amp;16&amp;A&amp;R&amp;"Times New Roman,Regular"Effective 01/01/19
System Update 01/xx/19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rgb="FF92D050"/>
    <pageSetUpPr fitToPage="1"/>
  </sheetPr>
  <dimension ref="A1:H28"/>
  <sheetViews>
    <sheetView view="pageLayout" zoomScale="130" zoomScaleNormal="100" zoomScalePageLayoutView="130" workbookViewId="0">
      <selection activeCell="A3" sqref="A3"/>
    </sheetView>
  </sheetViews>
  <sheetFormatPr defaultColWidth="11.42578125" defaultRowHeight="12.75" x14ac:dyDescent="0.2"/>
  <cols>
    <col min="1" max="1" width="9.7109375" style="22" customWidth="1"/>
    <col min="2" max="2" width="17.7109375" style="22" customWidth="1"/>
    <col min="3" max="3" width="36.42578125" style="7" customWidth="1"/>
    <col min="4" max="4" width="10.7109375" style="23" customWidth="1"/>
    <col min="5" max="5" width="10.7109375" style="24" customWidth="1"/>
    <col min="6" max="6" width="1.7109375" style="24" customWidth="1"/>
    <col min="7" max="7" width="10.28515625" style="25" bestFit="1" customWidth="1"/>
    <col min="8" max="8" width="8.7109375" style="25" bestFit="1" customWidth="1"/>
    <col min="9" max="16384" width="11.42578125" style="7"/>
  </cols>
  <sheetData>
    <row r="1" spans="1:8" ht="20.100000000000001" customHeight="1" x14ac:dyDescent="0.2">
      <c r="A1" s="717" t="s">
        <v>751</v>
      </c>
      <c r="B1" s="717"/>
      <c r="C1" s="717"/>
      <c r="D1" s="717"/>
      <c r="E1" s="717"/>
      <c r="F1" s="7"/>
      <c r="G1" s="35"/>
    </row>
    <row r="2" spans="1:8" ht="13.5" thickBot="1" x14ac:dyDescent="0.25">
      <c r="A2" s="7"/>
    </row>
    <row r="3" spans="1:8" ht="39" thickBot="1" x14ac:dyDescent="0.25">
      <c r="A3" s="118" t="s">
        <v>464</v>
      </c>
      <c r="B3" s="118" t="s">
        <v>465</v>
      </c>
      <c r="C3" s="118" t="s">
        <v>466</v>
      </c>
      <c r="D3" s="82" t="s">
        <v>548</v>
      </c>
      <c r="E3" s="119" t="s">
        <v>547</v>
      </c>
      <c r="F3" s="28"/>
      <c r="G3" s="29"/>
      <c r="H3" s="29"/>
    </row>
    <row r="4" spans="1:8" x14ac:dyDescent="0.2">
      <c r="A4" s="120"/>
      <c r="B4" s="121"/>
      <c r="C4" s="122"/>
      <c r="D4" s="123"/>
      <c r="E4" s="124"/>
      <c r="F4" s="30"/>
    </row>
    <row r="5" spans="1:8" s="13" customFormat="1" ht="20.100000000000001" customHeight="1" x14ac:dyDescent="0.2">
      <c r="A5" s="42">
        <v>1020</v>
      </c>
      <c r="B5" s="125" t="s">
        <v>563</v>
      </c>
      <c r="C5" s="90" t="s">
        <v>564</v>
      </c>
      <c r="D5" s="126">
        <v>0.06</v>
      </c>
      <c r="E5" s="76">
        <f>D5*'J- Police Mgmt (rep)'!$F$3</f>
        <v>663.69006000000002</v>
      </c>
      <c r="F5" s="31"/>
      <c r="G5" s="419"/>
      <c r="H5" s="32"/>
    </row>
    <row r="6" spans="1:8" s="13" customFormat="1" ht="20.100000000000001" customHeight="1" x14ac:dyDescent="0.2">
      <c r="A6" s="42">
        <v>1022</v>
      </c>
      <c r="B6" s="125" t="s">
        <v>563</v>
      </c>
      <c r="C6" s="90" t="s">
        <v>565</v>
      </c>
      <c r="D6" s="126">
        <v>7.0000000000000007E-2</v>
      </c>
      <c r="E6" s="76">
        <f>D6*'J- Police Mgmt (rep)'!$F$3</f>
        <v>774.30507000000011</v>
      </c>
      <c r="F6" s="31"/>
      <c r="G6" s="419"/>
      <c r="H6" s="32"/>
    </row>
    <row r="7" spans="1:8" s="13" customFormat="1" ht="20.100000000000001" customHeight="1" x14ac:dyDescent="0.2">
      <c r="A7" s="42">
        <v>1024</v>
      </c>
      <c r="B7" s="125" t="s">
        <v>563</v>
      </c>
      <c r="C7" s="90" t="s">
        <v>566</v>
      </c>
      <c r="D7" s="126">
        <v>0.08</v>
      </c>
      <c r="E7" s="76">
        <f>D7*'J- Police Mgmt (rep)'!$F$3</f>
        <v>884.92007999999998</v>
      </c>
      <c r="F7" s="31"/>
      <c r="G7" s="419"/>
      <c r="H7" s="32"/>
    </row>
    <row r="8" spans="1:8" s="13" customFormat="1" ht="20.100000000000001" customHeight="1" x14ac:dyDescent="0.2">
      <c r="A8" s="42">
        <v>1026</v>
      </c>
      <c r="B8" s="125" t="s">
        <v>563</v>
      </c>
      <c r="C8" s="90" t="s">
        <v>567</v>
      </c>
      <c r="D8" s="126">
        <v>0.09</v>
      </c>
      <c r="E8" s="76">
        <f>D8*'J- Police Mgmt (rep)'!$F$3</f>
        <v>995.53508999999997</v>
      </c>
      <c r="F8" s="31"/>
      <c r="G8" s="419"/>
      <c r="H8" s="32"/>
    </row>
    <row r="9" spans="1:8" s="13" customFormat="1" ht="19.5" customHeight="1" x14ac:dyDescent="0.2">
      <c r="A9" s="125" t="s">
        <v>760</v>
      </c>
      <c r="B9" s="125" t="s">
        <v>761</v>
      </c>
      <c r="C9" s="90" t="s">
        <v>754</v>
      </c>
      <c r="D9" s="126">
        <v>0.1</v>
      </c>
      <c r="E9" s="76">
        <f>D9*'J- Police Mgmt (rep)'!$F$3</f>
        <v>1106.1501000000001</v>
      </c>
      <c r="F9" s="31"/>
      <c r="G9" s="419"/>
      <c r="H9" s="32"/>
    </row>
    <row r="10" spans="1:8" s="13" customFormat="1" ht="10.5" customHeight="1" x14ac:dyDescent="0.2">
      <c r="A10" s="125"/>
      <c r="B10" s="125"/>
      <c r="C10" s="90"/>
      <c r="D10" s="126"/>
      <c r="E10" s="76"/>
      <c r="F10" s="31"/>
      <c r="G10" s="419"/>
      <c r="H10" s="32"/>
    </row>
    <row r="11" spans="1:8" s="13" customFormat="1" ht="20.100000000000001" customHeight="1" x14ac:dyDescent="0.2">
      <c r="A11" s="117">
        <v>1016</v>
      </c>
      <c r="B11" s="125" t="s">
        <v>563</v>
      </c>
      <c r="C11" s="90" t="s">
        <v>755</v>
      </c>
      <c r="D11" s="126">
        <v>0.11</v>
      </c>
      <c r="E11" s="76">
        <f>D11*'J- Police Mgmt (rep)'!$F$3</f>
        <v>1216.76511</v>
      </c>
      <c r="F11" s="31"/>
      <c r="G11" s="419"/>
      <c r="H11" s="32"/>
    </row>
    <row r="12" spans="1:8" s="13" customFormat="1" ht="13.5" thickBot="1" x14ac:dyDescent="0.25">
      <c r="A12" s="127"/>
      <c r="B12" s="127"/>
      <c r="C12" s="128"/>
      <c r="D12" s="129"/>
      <c r="E12" s="78"/>
      <c r="F12" s="31"/>
      <c r="G12" s="32"/>
      <c r="H12" s="32"/>
    </row>
    <row r="13" spans="1:8" ht="15" customHeight="1" x14ac:dyDescent="0.2">
      <c r="A13" s="18"/>
      <c r="B13" s="18"/>
      <c r="C13" s="19"/>
      <c r="D13" s="20"/>
      <c r="E13" s="21"/>
      <c r="F13" s="21"/>
    </row>
    <row r="14" spans="1:8" x14ac:dyDescent="0.2">
      <c r="C14" s="33"/>
    </row>
    <row r="15" spans="1:8" ht="19.5" customHeight="1" x14ac:dyDescent="0.2">
      <c r="A15" s="717" t="s">
        <v>752</v>
      </c>
      <c r="B15" s="717"/>
      <c r="C15" s="717"/>
      <c r="D15" s="717"/>
      <c r="E15" s="717"/>
    </row>
    <row r="16" spans="1:8" ht="13.5" thickBot="1" x14ac:dyDescent="0.25">
      <c r="A16" s="7"/>
    </row>
    <row r="17" spans="1:8" ht="39" thickBot="1" x14ac:dyDescent="0.25">
      <c r="A17" s="118" t="s">
        <v>464</v>
      </c>
      <c r="B17" s="118" t="s">
        <v>465</v>
      </c>
      <c r="C17" s="118" t="s">
        <v>466</v>
      </c>
      <c r="D17" s="82" t="s">
        <v>753</v>
      </c>
      <c r="E17" s="119" t="s">
        <v>547</v>
      </c>
    </row>
    <row r="18" spans="1:8" ht="12" customHeight="1" x14ac:dyDescent="0.2">
      <c r="A18" s="120"/>
      <c r="B18" s="121"/>
      <c r="C18" s="122"/>
      <c r="D18" s="123"/>
      <c r="E18" s="124"/>
    </row>
    <row r="19" spans="1:8" s="13" customFormat="1" ht="19.5" customHeight="1" x14ac:dyDescent="0.2">
      <c r="A19" s="42" t="s">
        <v>763</v>
      </c>
      <c r="B19" s="42" t="s">
        <v>763</v>
      </c>
      <c r="C19" s="90" t="s">
        <v>564</v>
      </c>
      <c r="D19" s="126">
        <v>0.06</v>
      </c>
      <c r="E19" s="76">
        <f>'J- Police Mgmt (rep)'!F7*D19</f>
        <v>753.74021999999991</v>
      </c>
      <c r="F19" s="45"/>
      <c r="G19" s="32"/>
      <c r="H19" s="32"/>
    </row>
    <row r="20" spans="1:8" s="13" customFormat="1" ht="19.5" customHeight="1" x14ac:dyDescent="0.2">
      <c r="A20" s="42" t="s">
        <v>763</v>
      </c>
      <c r="B20" s="42" t="s">
        <v>763</v>
      </c>
      <c r="C20" s="90" t="s">
        <v>565</v>
      </c>
      <c r="D20" s="126">
        <v>7.0000000000000007E-2</v>
      </c>
      <c r="E20" s="76">
        <f>'J- Police Mgmt (rep)'!F7*D20</f>
        <v>879.36359000000004</v>
      </c>
      <c r="F20" s="45"/>
      <c r="G20" s="32"/>
      <c r="H20" s="32"/>
    </row>
    <row r="21" spans="1:8" s="13" customFormat="1" ht="19.5" customHeight="1" x14ac:dyDescent="0.2">
      <c r="A21" s="42" t="s">
        <v>763</v>
      </c>
      <c r="B21" s="42" t="s">
        <v>763</v>
      </c>
      <c r="C21" s="90" t="s">
        <v>566</v>
      </c>
      <c r="D21" s="126">
        <v>0.08</v>
      </c>
      <c r="E21" s="76">
        <f>'J- Police Mgmt (rep)'!F7*D21</f>
        <v>1004.98696</v>
      </c>
      <c r="F21" s="45"/>
      <c r="G21" s="32"/>
      <c r="H21" s="32"/>
    </row>
    <row r="22" spans="1:8" s="13" customFormat="1" ht="19.5" customHeight="1" x14ac:dyDescent="0.2">
      <c r="A22" s="42" t="s">
        <v>763</v>
      </c>
      <c r="B22" s="42" t="s">
        <v>763</v>
      </c>
      <c r="C22" s="90" t="s">
        <v>567</v>
      </c>
      <c r="D22" s="126">
        <v>0.09</v>
      </c>
      <c r="E22" s="76">
        <f>'J- Police Mgmt (rep)'!F7*D22</f>
        <v>1130.61033</v>
      </c>
      <c r="F22" s="45"/>
      <c r="G22" s="32"/>
      <c r="H22" s="32"/>
    </row>
    <row r="23" spans="1:8" s="13" customFormat="1" ht="19.5" customHeight="1" x14ac:dyDescent="0.2">
      <c r="A23" s="42" t="s">
        <v>763</v>
      </c>
      <c r="B23" s="42" t="s">
        <v>763</v>
      </c>
      <c r="C23" s="90" t="s">
        <v>754</v>
      </c>
      <c r="D23" s="126">
        <v>0.1</v>
      </c>
      <c r="E23" s="76">
        <f>'J- Police Mgmt (rep)'!F7*D23</f>
        <v>1256.2337</v>
      </c>
      <c r="F23" s="45"/>
      <c r="G23" s="32"/>
      <c r="H23" s="32"/>
    </row>
    <row r="24" spans="1:8" s="13" customFormat="1" ht="9.75" customHeight="1" x14ac:dyDescent="0.2">
      <c r="A24" s="42"/>
      <c r="B24" s="125"/>
      <c r="C24" s="90"/>
      <c r="D24" s="126"/>
      <c r="E24" s="76"/>
      <c r="F24" s="45"/>
      <c r="G24" s="32"/>
      <c r="H24" s="32"/>
    </row>
    <row r="25" spans="1:8" s="13" customFormat="1" ht="19.5" customHeight="1" x14ac:dyDescent="0.2">
      <c r="A25" s="42">
        <v>1031</v>
      </c>
      <c r="B25" s="125" t="s">
        <v>762</v>
      </c>
      <c r="C25" s="90" t="s">
        <v>755</v>
      </c>
      <c r="D25" s="126">
        <v>0.11</v>
      </c>
      <c r="E25" s="76">
        <f>'J- Police Mgmt (rep)'!F7*D25</f>
        <v>1381.85707</v>
      </c>
      <c r="F25" s="45"/>
      <c r="G25" s="32"/>
      <c r="H25" s="32"/>
    </row>
    <row r="26" spans="1:8" ht="13.5" thickBot="1" x14ac:dyDescent="0.25">
      <c r="A26" s="96"/>
      <c r="B26" s="96"/>
      <c r="C26" s="130"/>
      <c r="D26" s="131"/>
      <c r="E26" s="132"/>
    </row>
    <row r="28" spans="1:8" s="89" customFormat="1" ht="15" x14ac:dyDescent="0.25">
      <c r="A28" s="153"/>
      <c r="B28" s="91"/>
      <c r="D28" s="92"/>
      <c r="E28" s="47"/>
      <c r="F28" s="47"/>
      <c r="G28" s="133"/>
      <c r="H28" s="133"/>
    </row>
  </sheetData>
  <customSheetViews>
    <customSheetView guid="{03674138-A9FA-46A6-AB09-A74C70852C0D}" showPageBreaks="1" fitToPage="1" printArea="1" state="hidden" view="pageLayout">
      <selection activeCell="A3" sqref="A3"/>
      <pageMargins left="0.25" right="0.25" top="1" bottom="1" header="0.5" footer="0.25"/>
      <printOptions horizontalCentered="1"/>
      <pageSetup orientation="portrait" r:id="rId1"/>
      <headerFooter alignWithMargins="0">
        <oddHeader>&amp;C2016 CITY OF BELLEVUE PAY PLANS
BELLEVUE POLICE MANAGEMENT ASSOCIATION
POLICE CAPTAINS AND MAJORS</oddHeader>
        <oddFooter>&amp;C&amp;"Arial,Bold"&amp;16&amp;A</oddFooter>
      </headerFooter>
    </customSheetView>
    <customSheetView guid="{6140C585-A678-4296-91B8-0C17DF653D09}" showPageBreaks="1" fitToPage="1" printArea="1" view="pageLayout">
      <selection activeCell="A3" sqref="A3"/>
      <pageMargins left="0.25" right="0.25" top="1" bottom="1" header="0.5" footer="0.25"/>
      <printOptions horizontalCentered="1"/>
      <pageSetup orientation="portrait" r:id="rId2"/>
      <headerFooter alignWithMargins="0">
        <oddHeader>&amp;C2016 CITY OF BELLEVUE PAY PLANS
BELLEVUE POLICE MANAGEMENT ASSOCIATION
POLICE CAPTAINS AND MAJORS</oddHeader>
        <oddFooter>&amp;C&amp;"Arial,Bold"&amp;16&amp;A</oddFooter>
      </headerFooter>
    </customSheetView>
    <customSheetView guid="{49073133-97C6-4E81-BEFE-D9E658C173F7}" showPageBreaks="1" fitToPage="1" printArea="1" view="pageLayout">
      <selection activeCell="A3" sqref="A3"/>
      <pageMargins left="0.25" right="0.25" top="1" bottom="1" header="0.5" footer="0.25"/>
      <printOptions horizontalCentered="1"/>
      <pageSetup orientation="portrait" r:id="rId3"/>
      <headerFooter alignWithMargins="0">
        <oddHeader>&amp;C2016 CITY OF BELLEVUE PAY PLANS
BELLEVUE POLICE MANAGEMENT ASSOCIATION
POLICE CAPTAINS AND MAJORS</oddHeader>
        <oddFooter>&amp;C&amp;"Arial,Bold"&amp;16&amp;A</oddFooter>
      </headerFooter>
    </customSheetView>
  </customSheetViews>
  <mergeCells count="2">
    <mergeCell ref="A1:E1"/>
    <mergeCell ref="A15:E15"/>
  </mergeCells>
  <phoneticPr fontId="7" type="noConversion"/>
  <printOptions horizontalCentered="1"/>
  <pageMargins left="0.25" right="0.25" top="1" bottom="1" header="0.5" footer="0.25"/>
  <pageSetup orientation="portrait" r:id="rId4"/>
  <headerFooter alignWithMargins="0">
    <oddHeader>&amp;C2019 CITY OF BELLEVUE PAY PLANS
BELLEVUE POLICE MANAGEMENT ASSOCIATION
POLICE CAPTAINS AND MAJORS</oddHeader>
    <oddFooter>&amp;C&amp;"Arial,Bold"&amp;16&amp;A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rgb="FF92D050"/>
  </sheetPr>
  <dimension ref="A1:R216"/>
  <sheetViews>
    <sheetView view="pageLayout" topLeftCell="B1" zoomScaleNormal="100" workbookViewId="0">
      <selection activeCell="B1" sqref="B1:B2"/>
    </sheetView>
  </sheetViews>
  <sheetFormatPr defaultColWidth="9.140625" defaultRowHeight="12.75" x14ac:dyDescent="0.2"/>
  <cols>
    <col min="1" max="1" width="5" style="186" customWidth="1"/>
    <col min="2" max="2" width="8.7109375" style="186" customWidth="1"/>
    <col min="3" max="3" width="35.7109375" style="160" customWidth="1"/>
    <col min="4" max="9" width="10.7109375" style="187" customWidth="1"/>
    <col min="10" max="10" width="10.7109375" style="160" bestFit="1" customWidth="1"/>
    <col min="11" max="12" width="9.140625" style="160"/>
    <col min="13" max="13" width="14" style="160" customWidth="1"/>
    <col min="14" max="16384" width="9.140625" style="160"/>
  </cols>
  <sheetData>
    <row r="1" spans="1:18" s="174" customFormat="1" x14ac:dyDescent="0.2">
      <c r="A1" s="709" t="s">
        <v>550</v>
      </c>
      <c r="B1" s="707" t="s">
        <v>0</v>
      </c>
      <c r="C1" s="707" t="s">
        <v>1</v>
      </c>
      <c r="D1" s="718" t="s">
        <v>2</v>
      </c>
      <c r="E1" s="718"/>
      <c r="F1" s="718"/>
      <c r="G1" s="718"/>
      <c r="H1" s="718"/>
      <c r="I1" s="718"/>
      <c r="J1" s="547">
        <v>2019</v>
      </c>
      <c r="L1" s="288"/>
      <c r="M1" s="289" t="s">
        <v>1125</v>
      </c>
      <c r="N1" s="661" t="s">
        <v>2</v>
      </c>
      <c r="O1" s="661"/>
      <c r="P1" s="661"/>
      <c r="Q1" s="661"/>
      <c r="R1" s="661"/>
    </row>
    <row r="2" spans="1:18" s="177" customFormat="1" x14ac:dyDescent="0.2">
      <c r="A2" s="708"/>
      <c r="B2" s="708"/>
      <c r="C2" s="710"/>
      <c r="D2" s="235">
        <v>1</v>
      </c>
      <c r="E2" s="235">
        <v>2</v>
      </c>
      <c r="F2" s="235">
        <v>3</v>
      </c>
      <c r="G2" s="235">
        <v>4</v>
      </c>
      <c r="H2" s="235">
        <v>5</v>
      </c>
      <c r="I2" s="235">
        <v>6</v>
      </c>
      <c r="J2" s="308"/>
      <c r="L2" s="290"/>
      <c r="M2" s="396">
        <v>1.0324</v>
      </c>
      <c r="N2" s="178" t="s">
        <v>450</v>
      </c>
      <c r="O2" s="178" t="s">
        <v>451</v>
      </c>
      <c r="P2" s="178" t="s">
        <v>452</v>
      </c>
      <c r="Q2" s="178" t="s">
        <v>453</v>
      </c>
      <c r="R2" s="178" t="s">
        <v>454</v>
      </c>
    </row>
    <row r="3" spans="1:18" x14ac:dyDescent="0.2">
      <c r="A3" s="163" t="s">
        <v>82</v>
      </c>
      <c r="B3" s="179" t="s">
        <v>618</v>
      </c>
      <c r="C3" s="167" t="s">
        <v>619</v>
      </c>
      <c r="D3" s="291">
        <f>ROUND(5963.64*$M$2,3)</f>
        <v>6156.8620000000001</v>
      </c>
      <c r="E3" s="291">
        <f>ROUND(6265.462*$M$2,3)</f>
        <v>6468.4629999999997</v>
      </c>
      <c r="F3" s="291">
        <f>ROUND(6583.561*$M$2,3)</f>
        <v>6796.8680000000004</v>
      </c>
      <c r="G3" s="291">
        <f>ROUND(6975.545*$M$2,3)</f>
        <v>7201.5529999999999</v>
      </c>
      <c r="H3" s="291">
        <f>ROUND(7371.293*$M$2,3)</f>
        <v>7610.1229999999996</v>
      </c>
      <c r="I3" s="291">
        <f>ROUND(7741.981*$M$2,3)</f>
        <v>7992.8209999999999</v>
      </c>
      <c r="J3" s="167" t="s">
        <v>10</v>
      </c>
      <c r="M3" s="228" t="s">
        <v>455</v>
      </c>
      <c r="N3" s="204">
        <f>(E4-D4)/D4</f>
        <v>5.0610359628005301E-2</v>
      </c>
      <c r="O3" s="204">
        <f>(F4-E4)/E4</f>
        <v>5.077017523328186E-2</v>
      </c>
      <c r="P3" s="204">
        <f>(G4-F4)/F4</f>
        <v>5.9539923388242953E-2</v>
      </c>
      <c r="Q3" s="204">
        <f>(H4-G4)/G4</f>
        <v>5.6733596211817047E-2</v>
      </c>
      <c r="R3" s="204">
        <f>(I4-H4)/H4</f>
        <v>5.0288017683814093E-2</v>
      </c>
    </row>
    <row r="4" spans="1:18" x14ac:dyDescent="0.2">
      <c r="A4" s="163"/>
      <c r="B4" s="179"/>
      <c r="C4" s="165"/>
      <c r="D4" s="285">
        <f>D3*12</f>
        <v>73882.343999999997</v>
      </c>
      <c r="E4" s="285">
        <f t="shared" ref="E4:I4" si="0">E3*12</f>
        <v>77621.555999999997</v>
      </c>
      <c r="F4" s="285">
        <f t="shared" si="0"/>
        <v>81562.415999999997</v>
      </c>
      <c r="G4" s="285">
        <f t="shared" si="0"/>
        <v>86418.635999999999</v>
      </c>
      <c r="H4" s="285">
        <f t="shared" si="0"/>
        <v>91321.475999999995</v>
      </c>
      <c r="I4" s="285">
        <f t="shared" si="0"/>
        <v>95913.851999999999</v>
      </c>
      <c r="J4" s="167" t="s">
        <v>520</v>
      </c>
      <c r="M4" s="228" t="s">
        <v>456</v>
      </c>
      <c r="N4" s="204">
        <f>(I4-D4)/D4</f>
        <v>0.29819719850794124</v>
      </c>
    </row>
    <row r="5" spans="1:18" x14ac:dyDescent="0.2">
      <c r="A5" s="163"/>
      <c r="B5" s="163"/>
      <c r="C5" s="167"/>
      <c r="D5" s="215">
        <f t="shared" ref="D5:I5" si="1">+D4/2080</f>
        <v>35.520357692307691</v>
      </c>
      <c r="E5" s="215">
        <f t="shared" si="1"/>
        <v>37.318055769230767</v>
      </c>
      <c r="F5" s="215">
        <f t="shared" si="1"/>
        <v>39.212699999999998</v>
      </c>
      <c r="G5" s="215">
        <f t="shared" si="1"/>
        <v>41.547421153846152</v>
      </c>
      <c r="H5" s="215">
        <f t="shared" si="1"/>
        <v>43.904555769230768</v>
      </c>
      <c r="I5" s="215">
        <f t="shared" si="1"/>
        <v>46.112428846153847</v>
      </c>
      <c r="J5" s="167" t="s">
        <v>11</v>
      </c>
      <c r="M5" s="228"/>
      <c r="N5" s="204"/>
      <c r="O5" s="204"/>
      <c r="P5" s="204"/>
      <c r="Q5" s="204"/>
      <c r="R5" s="204"/>
    </row>
    <row r="6" spans="1:18" ht="34.5" customHeight="1" x14ac:dyDescent="0.3">
      <c r="A6" s="185"/>
      <c r="B6" s="163"/>
      <c r="C6" s="167"/>
      <c r="D6" s="171"/>
      <c r="E6" s="171"/>
      <c r="F6" s="171"/>
      <c r="G6" s="171"/>
      <c r="H6" s="171"/>
      <c r="I6" s="171"/>
      <c r="J6" s="167"/>
    </row>
    <row r="8" spans="1:18" x14ac:dyDescent="0.2">
      <c r="D8" s="233"/>
      <c r="E8" s="233"/>
      <c r="F8" s="233"/>
      <c r="G8" s="233"/>
      <c r="H8" s="233"/>
      <c r="I8" s="233"/>
    </row>
    <row r="10" spans="1:18" x14ac:dyDescent="0.2">
      <c r="D10" s="233"/>
      <c r="E10" s="233"/>
      <c r="F10" s="233"/>
      <c r="G10" s="233"/>
      <c r="H10" s="233"/>
      <c r="I10" s="233"/>
    </row>
    <row r="61" spans="9:9" x14ac:dyDescent="0.2">
      <c r="I61" s="438"/>
    </row>
    <row r="77" spans="9:9" x14ac:dyDescent="0.2">
      <c r="I77" s="438"/>
    </row>
    <row r="216" spans="9:9" x14ac:dyDescent="0.2">
      <c r="I216" s="438"/>
    </row>
  </sheetData>
  <customSheetViews>
    <customSheetView guid="{03674138-A9FA-46A6-AB09-A74C70852C0D}" showPageBreaks="1" printArea="1" view="pageLayout">
      <selection activeCell="E6" sqref="E6"/>
      <pageMargins left="0.25" right="0.25" top="2" bottom="1" header="0.5" footer="0.5"/>
      <printOptions horizontalCentered="1" gridLines="1"/>
      <pageSetup scale="83" orientation="portrait" r:id="rId1"/>
      <headerFooter alignWithMargins="0">
        <oddHeader>&amp;L&amp;"Times New Roman,Regular"Ordinance #  (budget adoption)
Resolution #8415 (contract adoption)&amp;C&amp;"Times New Roman,Bold"&amp;16
ATTACHMENT I
2014 CITY OF BELLEVUE PAY PLANS
INTERNATIONAL ASSOCIATION OF FIREFIGHTERS UNION, LOCAL #1604 
FIRE PREVENTION</oddHeader>
        <oddFooter>&amp;C&amp;"Times New Roman,Bold"&amp;16&amp;A</oddFooter>
      </headerFooter>
    </customSheetView>
    <customSheetView guid="{6140C585-A678-4296-91B8-0C17DF653D09}" showPageBreaks="1" printArea="1" view="pageLayout">
      <selection sqref="A1:A2"/>
      <pageMargins left="0.25" right="0.25" top="2" bottom="1" header="0.5" footer="0.5"/>
      <printOptions horizontalCentered="1" gridLines="1"/>
      <pageSetup scale="83" orientation="portrait" r:id="rId2"/>
      <headerFooter alignWithMargins="0">
        <oddHeader>&amp;LOrdinance #  (budget adoption)
Resolution #8415 (contract adoption)&amp;C&amp;"Arial,Bold"&amp;16
2014 CITY OF BELLEVUE PAY PLANS
&amp;14INTERNATIONAL ASSOCIATION OF FIREFIGHTERS UNION, LOCAL #1604 
FIRE PREVENTION</oddHeader>
        <oddFooter xml:space="preserve">&amp;C&amp;"Arial,Bold"&amp;16&amp;A&amp;REffective 01/01/14
System Update 01/xx/14 </oddFooter>
      </headerFooter>
    </customSheetView>
    <customSheetView guid="{49073133-97C6-4E81-BEFE-D9E658C173F7}" showPageBreaks="1" printArea="1" view="pageLayout">
      <selection sqref="A1:A2"/>
      <pageMargins left="0.25" right="0.25" top="2" bottom="1" header="0.5" footer="0.5"/>
      <printOptions horizontalCentered="1" gridLines="1"/>
      <pageSetup scale="83" orientation="portrait" r:id="rId3"/>
      <headerFooter alignWithMargins="0">
        <oddHeader>&amp;LOrdinance #  (budget adoption)
Resolution #8415 (contract adoption)&amp;C&amp;"Arial,Bold"&amp;16
2014 CITY OF BELLEVUE PAY PLANS
&amp;14INTERNATIONAL ASSOCIATION OF FIREFIGHTERS UNION, LOCAL #1604 
FIRE PREVENTION</oddHeader>
        <oddFooter xml:space="preserve">&amp;C&amp;"Arial,Bold"&amp;16&amp;A&amp;REffective 01/01/14
System Update 01/xx/14 </oddFooter>
      </headerFooter>
    </customSheetView>
  </customSheetViews>
  <mergeCells count="5">
    <mergeCell ref="N1:R1"/>
    <mergeCell ref="D1:I1"/>
    <mergeCell ref="A1:A2"/>
    <mergeCell ref="B1:B2"/>
    <mergeCell ref="C1:C2"/>
  </mergeCells>
  <phoneticPr fontId="7" type="noConversion"/>
  <printOptions horizontalCentered="1" gridLines="1"/>
  <pageMargins left="0.25" right="0.25" top="2" bottom="1" header="0.5" footer="0.5"/>
  <pageSetup scale="83" orientation="portrait" r:id="rId4"/>
  <headerFooter alignWithMargins="0">
    <oddHeader>&amp;LOrdinance # (budget adoption)
Resolution #TBD (2019-21 CBA adoption)&amp;C&amp;"Times New Roman,Bold"&amp;14
2019 CITY OF BELLEVUE PAY PLANS
INTERNATIONAL ASSOCIATION OF FIREFIGHTERS UNION, LOCAL #1604 
FIRE PREVENTION</oddHeader>
    <oddFooter xml:space="preserve">&amp;C&amp;"Times New Roman,Bold"&amp;16&amp;A&amp;R&amp;"Times New Roman,Regular"Effective 01/01/19
System Update 01/xx/19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rgb="FF92D050"/>
    <pageSetUpPr fitToPage="1"/>
  </sheetPr>
  <dimension ref="A1:J26"/>
  <sheetViews>
    <sheetView view="pageLayout" topLeftCell="A10" zoomScaleNormal="100" workbookViewId="0">
      <selection activeCell="A2" sqref="A2:A4"/>
    </sheetView>
  </sheetViews>
  <sheetFormatPr defaultColWidth="11.42578125" defaultRowHeight="12.75" x14ac:dyDescent="0.2"/>
  <cols>
    <col min="1" max="1" width="6.42578125" style="91" bestFit="1" customWidth="1"/>
    <col min="2" max="2" width="14.140625" style="89" customWidth="1"/>
    <col min="3" max="3" width="31.7109375" style="89" bestFit="1" customWidth="1"/>
    <col min="4" max="4" width="9.7109375" style="92" customWidth="1"/>
    <col min="5" max="10" width="10.7109375" style="89" customWidth="1"/>
    <col min="11" max="16384" width="11.42578125" style="89"/>
  </cols>
  <sheetData>
    <row r="1" spans="1:10" ht="13.5" thickBot="1" x14ac:dyDescent="0.25"/>
    <row r="2" spans="1:10" s="350" customFormat="1" ht="18" customHeight="1" x14ac:dyDescent="0.2">
      <c r="A2" s="730" t="s">
        <v>464</v>
      </c>
      <c r="B2" s="730" t="s">
        <v>465</v>
      </c>
      <c r="C2" s="730" t="s">
        <v>466</v>
      </c>
      <c r="D2" s="735" t="s">
        <v>468</v>
      </c>
      <c r="E2" s="726" t="s">
        <v>620</v>
      </c>
      <c r="F2" s="727"/>
      <c r="G2" s="727"/>
      <c r="H2" s="727"/>
      <c r="I2" s="728"/>
      <c r="J2" s="729"/>
    </row>
    <row r="3" spans="1:10" s="350" customFormat="1" ht="18" customHeight="1" x14ac:dyDescent="0.2">
      <c r="A3" s="731"/>
      <c r="B3" s="733"/>
      <c r="C3" s="733"/>
      <c r="D3" s="731"/>
      <c r="E3" s="97" t="s">
        <v>469</v>
      </c>
      <c r="F3" s="98" t="s">
        <v>470</v>
      </c>
      <c r="G3" s="98" t="s">
        <v>471</v>
      </c>
      <c r="H3" s="98" t="s">
        <v>472</v>
      </c>
      <c r="I3" s="98" t="s">
        <v>473</v>
      </c>
      <c r="J3" s="99" t="s">
        <v>515</v>
      </c>
    </row>
    <row r="4" spans="1:10" s="350" customFormat="1" ht="18" customHeight="1" thickBot="1" x14ac:dyDescent="0.25">
      <c r="A4" s="732"/>
      <c r="B4" s="734"/>
      <c r="C4" s="734"/>
      <c r="D4" s="732"/>
      <c r="E4" s="100">
        <f>+'K- Fire Prevention (rep)'!D3</f>
        <v>6156.8620000000001</v>
      </c>
      <c r="F4" s="101">
        <f>+'K- Fire Prevention (rep)'!E3</f>
        <v>6468.4629999999997</v>
      </c>
      <c r="G4" s="101">
        <f>+'K- Fire Prevention (rep)'!F3</f>
        <v>6796.8680000000004</v>
      </c>
      <c r="H4" s="101">
        <f>+'K- Fire Prevention (rep)'!G3</f>
        <v>7201.5529999999999</v>
      </c>
      <c r="I4" s="101">
        <f>+'K- Fire Prevention (rep)'!H3</f>
        <v>7610.1229999999996</v>
      </c>
      <c r="J4" s="102">
        <f>+'K- Fire Prevention (rep)'!I3</f>
        <v>7992.8209999999999</v>
      </c>
    </row>
    <row r="5" spans="1:10" ht="22.5" customHeight="1" thickBot="1" x14ac:dyDescent="0.3">
      <c r="A5" s="383" t="s">
        <v>871</v>
      </c>
      <c r="B5" s="383"/>
      <c r="C5" s="383"/>
      <c r="D5" s="79"/>
      <c r="E5" s="80"/>
      <c r="F5" s="80"/>
      <c r="G5" s="80"/>
      <c r="H5" s="80"/>
      <c r="I5" s="80"/>
      <c r="J5" s="70"/>
    </row>
    <row r="6" spans="1:10" ht="18" customHeight="1" thickBot="1" x14ac:dyDescent="0.25">
      <c r="A6" s="719" t="s">
        <v>977</v>
      </c>
      <c r="B6" s="720"/>
      <c r="C6" s="720"/>
      <c r="D6" s="720"/>
      <c r="E6" s="720"/>
      <c r="F6" s="720"/>
      <c r="G6" s="720"/>
      <c r="H6" s="720"/>
      <c r="I6" s="720"/>
      <c r="J6" s="721"/>
    </row>
    <row r="7" spans="1:10" ht="32.25" customHeight="1" x14ac:dyDescent="0.2">
      <c r="A7" s="103">
        <v>1120</v>
      </c>
      <c r="B7" s="104" t="s">
        <v>868</v>
      </c>
      <c r="C7" s="382" t="s">
        <v>980</v>
      </c>
      <c r="D7" s="105">
        <v>0.01</v>
      </c>
      <c r="E7" s="351">
        <f>$E$4*D7</f>
        <v>61.568620000000003</v>
      </c>
      <c r="F7" s="351">
        <f>$F$4*D7</f>
        <v>64.684629999999999</v>
      </c>
      <c r="G7" s="351">
        <f>$G$4*D7</f>
        <v>67.968680000000006</v>
      </c>
      <c r="H7" s="351">
        <f>$H$4*D7</f>
        <v>72.015529999999998</v>
      </c>
      <c r="I7" s="352">
        <f>$I$4*D7</f>
        <v>76.101230000000001</v>
      </c>
      <c r="J7" s="353">
        <f t="shared" ref="J7:J13" si="0">$J$4*D7</f>
        <v>79.928210000000007</v>
      </c>
    </row>
    <row r="8" spans="1:10" ht="32.25" customHeight="1" x14ac:dyDescent="0.2">
      <c r="A8" s="106">
        <v>1121</v>
      </c>
      <c r="B8" s="107" t="s">
        <v>869</v>
      </c>
      <c r="C8" s="340" t="s">
        <v>979</v>
      </c>
      <c r="D8" s="87">
        <v>0.02</v>
      </c>
      <c r="E8" s="354">
        <f t="shared" ref="E8:E13" si="1">$E$4*D8</f>
        <v>123.13724000000001</v>
      </c>
      <c r="F8" s="354">
        <f t="shared" ref="F8:F13" si="2">$F$4*D8</f>
        <v>129.36926</v>
      </c>
      <c r="G8" s="354">
        <f t="shared" ref="G8:G13" si="3">$G$4*D8</f>
        <v>135.93736000000001</v>
      </c>
      <c r="H8" s="354">
        <f t="shared" ref="H8:H13" si="4">$H$4*D8</f>
        <v>144.03106</v>
      </c>
      <c r="I8" s="355">
        <f t="shared" ref="I8:I13" si="5">$I$4*D8</f>
        <v>152.20246</v>
      </c>
      <c r="J8" s="88">
        <f t="shared" si="0"/>
        <v>159.85642000000001</v>
      </c>
    </row>
    <row r="9" spans="1:10" ht="32.25" customHeight="1" thickBot="1" x14ac:dyDescent="0.25">
      <c r="A9" s="384">
        <v>1122</v>
      </c>
      <c r="B9" s="112" t="s">
        <v>870</v>
      </c>
      <c r="C9" s="341" t="s">
        <v>978</v>
      </c>
      <c r="D9" s="154">
        <v>0.03</v>
      </c>
      <c r="E9" s="362">
        <f t="shared" si="1"/>
        <v>184.70586</v>
      </c>
      <c r="F9" s="362">
        <f t="shared" si="2"/>
        <v>194.05389</v>
      </c>
      <c r="G9" s="362">
        <f t="shared" si="3"/>
        <v>203.90603999999999</v>
      </c>
      <c r="H9" s="362">
        <f t="shared" si="4"/>
        <v>216.04658999999998</v>
      </c>
      <c r="I9" s="363">
        <f t="shared" si="5"/>
        <v>228.30368999999999</v>
      </c>
      <c r="J9" s="95">
        <f t="shared" si="0"/>
        <v>239.78462999999999</v>
      </c>
    </row>
    <row r="10" spans="1:10" ht="16.5" customHeight="1" thickBot="1" x14ac:dyDescent="0.25">
      <c r="A10" s="108"/>
      <c r="B10" s="109"/>
      <c r="C10" s="110"/>
      <c r="D10" s="111"/>
      <c r="E10" s="356"/>
      <c r="F10" s="356"/>
      <c r="G10" s="356"/>
      <c r="H10" s="356"/>
      <c r="I10" s="357"/>
      <c r="J10" s="358"/>
    </row>
    <row r="11" spans="1:10" ht="18" customHeight="1" thickBot="1" x14ac:dyDescent="0.25">
      <c r="A11" s="719" t="s">
        <v>984</v>
      </c>
      <c r="B11" s="720"/>
      <c r="C11" s="720"/>
      <c r="D11" s="720"/>
      <c r="E11" s="720"/>
      <c r="F11" s="720"/>
      <c r="G11" s="720"/>
      <c r="H11" s="720"/>
      <c r="I11" s="720"/>
      <c r="J11" s="721"/>
    </row>
    <row r="12" spans="1:10" ht="63" customHeight="1" x14ac:dyDescent="0.2">
      <c r="A12" s="380" t="s">
        <v>981</v>
      </c>
      <c r="B12" s="381" t="s">
        <v>982</v>
      </c>
      <c r="C12" s="381" t="s">
        <v>983</v>
      </c>
      <c r="D12" s="349">
        <v>0.02</v>
      </c>
      <c r="E12" s="359">
        <f t="shared" si="1"/>
        <v>123.13724000000001</v>
      </c>
      <c r="F12" s="359">
        <f t="shared" si="2"/>
        <v>129.36926</v>
      </c>
      <c r="G12" s="359">
        <f t="shared" si="3"/>
        <v>135.93736000000001</v>
      </c>
      <c r="H12" s="359">
        <f t="shared" si="4"/>
        <v>144.03106</v>
      </c>
      <c r="I12" s="360">
        <f t="shared" si="5"/>
        <v>152.20246</v>
      </c>
      <c r="J12" s="361">
        <f t="shared" si="0"/>
        <v>159.85642000000001</v>
      </c>
    </row>
    <row r="13" spans="1:10" ht="63" customHeight="1" x14ac:dyDescent="0.2">
      <c r="A13" s="380" t="s">
        <v>985</v>
      </c>
      <c r="B13" s="381" t="s">
        <v>986</v>
      </c>
      <c r="C13" s="377" t="s">
        <v>987</v>
      </c>
      <c r="D13" s="349">
        <v>0.03</v>
      </c>
      <c r="E13" s="359">
        <f t="shared" si="1"/>
        <v>184.70586</v>
      </c>
      <c r="F13" s="359">
        <f t="shared" si="2"/>
        <v>194.05389</v>
      </c>
      <c r="G13" s="359">
        <f t="shared" si="3"/>
        <v>203.90603999999999</v>
      </c>
      <c r="H13" s="359">
        <f t="shared" si="4"/>
        <v>216.04658999999998</v>
      </c>
      <c r="I13" s="360">
        <f t="shared" si="5"/>
        <v>228.30368999999999</v>
      </c>
      <c r="J13" s="361">
        <f t="shared" si="0"/>
        <v>239.78462999999999</v>
      </c>
    </row>
    <row r="14" spans="1:10" ht="63" customHeight="1" thickBot="1" x14ac:dyDescent="0.25">
      <c r="A14" s="378" t="s">
        <v>988</v>
      </c>
      <c r="B14" s="379" t="s">
        <v>989</v>
      </c>
      <c r="C14" s="341" t="s">
        <v>990</v>
      </c>
      <c r="D14" s="154">
        <v>0.04</v>
      </c>
      <c r="E14" s="362">
        <f t="shared" ref="E14" si="6">$E$4*D14</f>
        <v>246.27448000000001</v>
      </c>
      <c r="F14" s="362">
        <f t="shared" ref="F14" si="7">$F$4*D14</f>
        <v>258.73851999999999</v>
      </c>
      <c r="G14" s="362">
        <f t="shared" ref="G14" si="8">$G$4*D14</f>
        <v>271.87472000000002</v>
      </c>
      <c r="H14" s="362">
        <f t="shared" ref="H14" si="9">$H$4*D14</f>
        <v>288.06211999999999</v>
      </c>
      <c r="I14" s="363">
        <f t="shared" ref="I14" si="10">$I$4*D14</f>
        <v>304.40492</v>
      </c>
      <c r="J14" s="95">
        <f t="shared" ref="J14" si="11">$J$4*D14</f>
        <v>319.71284000000003</v>
      </c>
    </row>
    <row r="15" spans="1:10" ht="13.5" thickBot="1" x14ac:dyDescent="0.25">
      <c r="A15" s="113"/>
      <c r="B15" s="113"/>
      <c r="C15" s="113"/>
      <c r="D15" s="114"/>
      <c r="E15" s="364"/>
      <c r="F15" s="364"/>
      <c r="G15" s="364"/>
      <c r="H15" s="364"/>
      <c r="I15" s="365"/>
      <c r="J15" s="365"/>
    </row>
    <row r="16" spans="1:10" ht="18" customHeight="1" thickBot="1" x14ac:dyDescent="0.3">
      <c r="A16" s="722" t="s">
        <v>895</v>
      </c>
      <c r="B16" s="723"/>
      <c r="C16" s="723"/>
      <c r="D16" s="723"/>
      <c r="E16" s="723"/>
      <c r="F16" s="723"/>
      <c r="G16" s="723"/>
      <c r="H16" s="723"/>
      <c r="I16" s="723"/>
      <c r="J16" s="724"/>
    </row>
    <row r="17" spans="1:10" s="350" customFormat="1" ht="33.75" customHeight="1" thickBot="1" x14ac:dyDescent="0.25">
      <c r="A17" s="366">
        <v>1130</v>
      </c>
      <c r="B17" s="367" t="s">
        <v>896</v>
      </c>
      <c r="C17" s="368" t="s">
        <v>895</v>
      </c>
      <c r="D17" s="369">
        <v>0.03</v>
      </c>
      <c r="E17" s="370">
        <f>$E$4*D17</f>
        <v>184.70586</v>
      </c>
      <c r="F17" s="370">
        <f>$F$4*D17</f>
        <v>194.05389</v>
      </c>
      <c r="G17" s="370">
        <f>$G$4*D17</f>
        <v>203.90603999999999</v>
      </c>
      <c r="H17" s="370">
        <f>$H$4*D17</f>
        <v>216.04658999999998</v>
      </c>
      <c r="I17" s="371">
        <f>$I$4*D17</f>
        <v>228.30368999999999</v>
      </c>
      <c r="J17" s="372">
        <f>$J$4*D17</f>
        <v>239.78462999999999</v>
      </c>
    </row>
    <row r="18" spans="1:10" ht="13.5" thickBot="1" x14ac:dyDescent="0.25"/>
    <row r="19" spans="1:10" ht="18" customHeight="1" thickBot="1" x14ac:dyDescent="0.3">
      <c r="A19" s="722" t="s">
        <v>991</v>
      </c>
      <c r="B19" s="723"/>
      <c r="C19" s="723"/>
      <c r="D19" s="723"/>
      <c r="E19" s="723"/>
      <c r="F19" s="723"/>
      <c r="G19" s="723"/>
      <c r="H19" s="723"/>
      <c r="I19" s="723"/>
      <c r="J19" s="724"/>
    </row>
    <row r="20" spans="1:10" ht="27.4" customHeight="1" thickBot="1" x14ac:dyDescent="0.25">
      <c r="A20" s="373" t="s">
        <v>763</v>
      </c>
      <c r="B20" s="374" t="s">
        <v>971</v>
      </c>
      <c r="C20" s="375" t="s">
        <v>972</v>
      </c>
      <c r="D20" s="369">
        <v>0.08</v>
      </c>
      <c r="E20" s="370">
        <f>$E$4*D20</f>
        <v>492.54896000000002</v>
      </c>
      <c r="F20" s="370">
        <f>$F$4*D20</f>
        <v>517.47703999999999</v>
      </c>
      <c r="G20" s="370">
        <f>$G$4*D20</f>
        <v>543.74944000000005</v>
      </c>
      <c r="H20" s="370">
        <f>$H$4*D20</f>
        <v>576.12423999999999</v>
      </c>
      <c r="I20" s="371">
        <f>$I$4*D20</f>
        <v>608.80984000000001</v>
      </c>
      <c r="J20" s="372">
        <f>$J$4*D20</f>
        <v>639.42568000000006</v>
      </c>
    </row>
    <row r="21" spans="1:10" x14ac:dyDescent="0.2">
      <c r="C21" s="376" t="s">
        <v>973</v>
      </c>
    </row>
    <row r="25" spans="1:10" ht="45" hidden="1" customHeight="1" thickBot="1" x14ac:dyDescent="0.25">
      <c r="A25" s="134">
        <v>1095</v>
      </c>
      <c r="B25" s="135" t="s">
        <v>568</v>
      </c>
      <c r="C25" s="136" t="s">
        <v>897</v>
      </c>
      <c r="D25" s="137">
        <v>0.05</v>
      </c>
      <c r="E25" s="138">
        <f>$E$4*D25</f>
        <v>307.84310000000005</v>
      </c>
      <c r="F25" s="139">
        <f>$F$4*D25</f>
        <v>323.42315000000002</v>
      </c>
      <c r="G25" s="139">
        <f>$G$4*D25</f>
        <v>339.84340000000003</v>
      </c>
      <c r="H25" s="140">
        <f>$H$4*D25</f>
        <v>360.07765000000001</v>
      </c>
      <c r="I25" s="139">
        <f>$I$4*D25</f>
        <v>380.50614999999999</v>
      </c>
      <c r="J25" s="141">
        <f>$J$4*D25</f>
        <v>399.64105000000001</v>
      </c>
    </row>
    <row r="26" spans="1:10" ht="26.25" hidden="1" customHeight="1" x14ac:dyDescent="0.2">
      <c r="A26" s="73"/>
      <c r="B26" s="115"/>
      <c r="C26" s="725" t="s">
        <v>898</v>
      </c>
      <c r="D26" s="725"/>
      <c r="E26" s="725"/>
      <c r="F26" s="725"/>
      <c r="G26" s="725"/>
      <c r="H26" s="725"/>
      <c r="I26" s="725"/>
      <c r="J26" s="725"/>
    </row>
  </sheetData>
  <customSheetViews>
    <customSheetView guid="{03674138-A9FA-46A6-AB09-A74C70852C0D}" showPageBreaks="1" fitToPage="1" printArea="1" hiddenRows="1" state="hidden" view="pageLayout">
      <pageMargins left="0.25" right="0.25" top="1" bottom="1" header="0.5" footer="0.25"/>
      <printOptions horizontalCentered="1"/>
      <pageSetup scale="80" orientation="portrait" r:id="rId1"/>
      <headerFooter alignWithMargins="0">
        <oddHeader>&amp;C&amp;14 2014
 City of Bellevue Pay Plans
Fire Prevention Officers</oddHeader>
        <oddFooter>&amp;C&amp;"Arial,Bold"&amp;16&amp;A</oddFooter>
      </headerFooter>
    </customSheetView>
    <customSheetView guid="{6140C585-A678-4296-91B8-0C17DF653D09}" showPageBreaks="1" fitToPage="1" printArea="1" hiddenRows="1" view="pageLayout">
      <pageMargins left="0.25" right="0.25" top="1" bottom="1" header="0.5" footer="0.25"/>
      <printOptions horizontalCentered="1"/>
      <pageSetup scale="82" orientation="portrait" r:id="rId2"/>
      <headerFooter alignWithMargins="0">
        <oddHeader>&amp;C&amp;14 2014
 City of Bellevue Pay Plans
Fire Prevention Officers</oddHeader>
        <oddFooter>&amp;C&amp;"Arial,Bold"&amp;16&amp;A</oddFooter>
      </headerFooter>
    </customSheetView>
    <customSheetView guid="{49073133-97C6-4E81-BEFE-D9E658C173F7}" showPageBreaks="1" fitToPage="1" printArea="1" hiddenRows="1" view="pageLayout">
      <pageMargins left="0.25" right="0.25" top="1" bottom="1" header="0.5" footer="0.25"/>
      <printOptions horizontalCentered="1"/>
      <pageSetup scale="82" orientation="portrait" r:id="rId3"/>
      <headerFooter alignWithMargins="0">
        <oddHeader>&amp;C&amp;14 2014
 City of Bellevue Pay Plans
Fire Prevention Officers</oddHeader>
        <oddFooter>&amp;C&amp;"Arial,Bold"&amp;16&amp;A</oddFooter>
      </headerFooter>
    </customSheetView>
  </customSheetViews>
  <mergeCells count="10">
    <mergeCell ref="A11:J11"/>
    <mergeCell ref="A16:J16"/>
    <mergeCell ref="C26:J26"/>
    <mergeCell ref="E2:J2"/>
    <mergeCell ref="A2:A4"/>
    <mergeCell ref="B2:B4"/>
    <mergeCell ref="C2:C4"/>
    <mergeCell ref="D2:D4"/>
    <mergeCell ref="A6:J6"/>
    <mergeCell ref="A19:J19"/>
  </mergeCells>
  <phoneticPr fontId="7" type="noConversion"/>
  <printOptions horizontalCentered="1"/>
  <pageMargins left="0.25" right="0.25" top="1" bottom="1" header="0.5" footer="0.25"/>
  <pageSetup scale="82" orientation="portrait" r:id="rId4"/>
  <headerFooter alignWithMargins="0">
    <oddHeader>&amp;C&amp;14 2019
 City of Bellevue Pay Plans
Fire Prevention Officers</oddHeader>
    <oddFooter>&amp;C&amp;"Arial,Bold"&amp;16&amp;A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rgb="FF92D050"/>
  </sheetPr>
  <dimension ref="A1:N216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7.7109375" style="186" customWidth="1"/>
    <col min="2" max="2" width="2.7109375" style="186" customWidth="1"/>
    <col min="3" max="3" width="8.28515625" style="186" customWidth="1"/>
    <col min="4" max="4" width="35.7109375" style="160" customWidth="1"/>
    <col min="5" max="7" width="11.7109375" style="233" customWidth="1"/>
    <col min="8" max="8" width="11.5703125" style="160" bestFit="1" customWidth="1"/>
    <col min="9" max="10" width="9.140625" style="160"/>
    <col min="11" max="11" width="14.140625" style="160" bestFit="1" customWidth="1"/>
    <col min="12" max="16384" width="9.140625" style="160"/>
  </cols>
  <sheetData>
    <row r="1" spans="1:14" s="174" customFormat="1" x14ac:dyDescent="0.2">
      <c r="A1" s="709" t="s">
        <v>550</v>
      </c>
      <c r="B1" s="707"/>
      <c r="C1" s="707" t="s">
        <v>0</v>
      </c>
      <c r="D1" s="707" t="s">
        <v>1</v>
      </c>
      <c r="E1" s="705"/>
      <c r="F1" s="705"/>
      <c r="G1" s="705" t="s">
        <v>377</v>
      </c>
      <c r="H1" s="547">
        <v>2019</v>
      </c>
      <c r="J1" s="174">
        <v>2019</v>
      </c>
      <c r="K1" s="283">
        <v>1.036</v>
      </c>
      <c r="L1" s="225"/>
      <c r="M1" s="225"/>
    </row>
    <row r="2" spans="1:14" s="177" customFormat="1" x14ac:dyDescent="0.2">
      <c r="A2" s="708"/>
      <c r="B2" s="708"/>
      <c r="C2" s="708"/>
      <c r="D2" s="710"/>
      <c r="E2" s="706"/>
      <c r="F2" s="706"/>
      <c r="G2" s="706"/>
      <c r="H2" s="308"/>
      <c r="K2" s="292"/>
      <c r="L2" s="161" t="s">
        <v>461</v>
      </c>
      <c r="M2" s="161" t="s">
        <v>462</v>
      </c>
      <c r="N2" s="177" t="s">
        <v>377</v>
      </c>
    </row>
    <row r="3" spans="1:14" x14ac:dyDescent="0.2">
      <c r="A3" s="163" t="s">
        <v>83</v>
      </c>
      <c r="B3" s="163" t="s">
        <v>88</v>
      </c>
      <c r="C3" s="179" t="s">
        <v>356</v>
      </c>
      <c r="D3" s="167" t="s">
        <v>899</v>
      </c>
      <c r="E3" s="238"/>
      <c r="F3" s="238"/>
      <c r="G3" s="238">
        <f>G4/12</f>
        <v>11774.183333333334</v>
      </c>
      <c r="H3" s="167" t="s">
        <v>10</v>
      </c>
      <c r="K3" s="228" t="s">
        <v>455</v>
      </c>
      <c r="L3" s="204" t="e">
        <f>(F3-E3)/E3</f>
        <v>#DIV/0!</v>
      </c>
      <c r="M3" s="204" t="e">
        <f>(G3-F3)/F3</f>
        <v>#DIV/0!</v>
      </c>
    </row>
    <row r="4" spans="1:14" x14ac:dyDescent="0.2">
      <c r="A4" s="163"/>
      <c r="B4" s="163"/>
      <c r="C4" s="179"/>
      <c r="D4" s="252"/>
      <c r="E4" s="170"/>
      <c r="F4" s="170"/>
      <c r="G4" s="170">
        <f>ROUND(136380.506*$K$1,2)</f>
        <v>141290.20000000001</v>
      </c>
      <c r="H4" s="167" t="s">
        <v>520</v>
      </c>
      <c r="K4" s="228" t="s">
        <v>456</v>
      </c>
      <c r="L4" s="204" t="e">
        <f>(G3-E3)/E3</f>
        <v>#DIV/0!</v>
      </c>
    </row>
    <row r="5" spans="1:14" x14ac:dyDescent="0.2">
      <c r="A5" s="163"/>
      <c r="B5" s="163"/>
      <c r="C5" s="163"/>
      <c r="D5" s="167"/>
      <c r="E5" s="166"/>
      <c r="F5" s="166"/>
      <c r="G5" s="166">
        <f>G4/2080</f>
        <v>67.927980769230771</v>
      </c>
      <c r="H5" s="167" t="s">
        <v>11</v>
      </c>
    </row>
    <row r="6" spans="1:14" x14ac:dyDescent="0.2">
      <c r="A6" s="163"/>
      <c r="B6" s="163"/>
      <c r="C6" s="163"/>
      <c r="D6" s="167"/>
      <c r="E6" s="170"/>
      <c r="F6" s="170"/>
      <c r="G6" s="170">
        <f>G4/2505.36</f>
        <v>56.395168758182457</v>
      </c>
      <c r="H6" s="167" t="s">
        <v>56</v>
      </c>
    </row>
    <row r="7" spans="1:14" ht="35.1" customHeight="1" x14ac:dyDescent="0.25">
      <c r="A7" s="287"/>
      <c r="B7" s="163"/>
      <c r="C7" s="163"/>
      <c r="D7" s="167"/>
      <c r="E7" s="170"/>
      <c r="F7" s="170"/>
      <c r="G7" s="170"/>
      <c r="H7" s="167"/>
    </row>
    <row r="8" spans="1:14" x14ac:dyDescent="0.2">
      <c r="A8" s="163"/>
      <c r="B8" s="163"/>
      <c r="C8" s="163"/>
      <c r="D8" s="167"/>
      <c r="E8" s="170"/>
      <c r="F8" s="170"/>
      <c r="G8" s="170"/>
      <c r="H8" s="167"/>
    </row>
    <row r="9" spans="1:14" ht="15.75" x14ac:dyDescent="0.25">
      <c r="A9" s="287"/>
      <c r="B9" s="163"/>
      <c r="C9" s="163"/>
      <c r="D9" s="167"/>
      <c r="E9" s="170"/>
      <c r="F9" s="170"/>
      <c r="G9" s="170"/>
      <c r="H9" s="167"/>
    </row>
    <row r="61" spans="9:9" x14ac:dyDescent="0.2">
      <c r="I61" s="437"/>
    </row>
    <row r="77" spans="9:9" x14ac:dyDescent="0.2">
      <c r="I77" s="437"/>
    </row>
    <row r="216" spans="9:9" x14ac:dyDescent="0.2">
      <c r="I216" s="437"/>
    </row>
  </sheetData>
  <customSheetViews>
    <customSheetView guid="{03674138-A9FA-46A6-AB09-A74C70852C0D}" showPageBreaks="1" printArea="1" view="pageLayout">
      <selection activeCell="F18" sqref="F18"/>
      <pageMargins left="0.25" right="0.25" top="1.93" bottom="1" header="0.5" footer="0.5"/>
      <printOptions horizontalCentered="1" gridLines="1"/>
      <pageSetup orientation="portrait" r:id="rId1"/>
      <headerFooter alignWithMargins="0">
        <oddHeader>&amp;L&amp;"Times New Roman,Regular"Ordinance # (budget adoption)
Resoulution #8784 (contract adoption)&amp;C&amp;"Times New Roman,Bold"&amp;16ATTACHMENT I
2016 CITY OF BELLEVUE PAY PLANS
INTERNATIONAL ASSOC OF FIREFIGHTERS UNION, LOCAL #1604
FIRE BATTALION CHIEFS</oddHeader>
        <oddFooter>&amp;L&amp;"Times New Roman,Regular"* Position is exempt from overtime.&amp;C&amp;"Times New Roman,Bold"&amp;16&amp;A</oddFooter>
      </headerFooter>
    </customSheetView>
    <customSheetView guid="{6140C585-A678-4296-91B8-0C17DF653D09}" showPageBreaks="1" printArea="1" view="pageLayout">
      <selection sqref="A1:A2"/>
      <pageMargins left="0.25" right="0.25" top="1.93" bottom="1" header="0.5" footer="0.5"/>
      <printOptions horizontalCentered="1" gridLines="1"/>
      <pageSetup orientation="portrait" r:id="rId2"/>
      <headerFooter alignWithMargins="0">
        <oddHeader>&amp;LOrdinance # (budget adoption)
Resoulution #8784 (contract adoption)&amp;C&amp;"Arial,Bold"&amp;16
2016 CITY OF BELLEVUE PAY PLANS
&amp;14INTERNATIONAL ASSOCIATION OF FIREFIGHTERS UNION, LOCAL #1604&amp;16
&amp;14FIRE BATTALION CHIEFS</oddHeader>
        <oddFooter>&amp;L* Position is exempt from overtime.&amp;C&amp;"Arial,Bold"&amp;16&amp;A&amp;REffective 01/01/16
System Update 01/xx/16</oddFooter>
      </headerFooter>
    </customSheetView>
    <customSheetView guid="{49073133-97C6-4E81-BEFE-D9E658C173F7}" showPageBreaks="1" printArea="1" view="pageLayout">
      <selection sqref="A1:A2"/>
      <pageMargins left="0.25" right="0.25" top="1.93" bottom="1" header="0.5" footer="0.5"/>
      <printOptions horizontalCentered="1" gridLines="1"/>
      <pageSetup orientation="portrait" r:id="rId3"/>
      <headerFooter alignWithMargins="0">
        <oddHeader>&amp;LOrdinance # (budget adoption)
Resoulution #8784 (contract adoption)&amp;C&amp;"Arial,Bold"&amp;16
2016 CITY OF BELLEVUE PAY PLANS
&amp;14INTERNATIONAL ASSOCIATION OF FIREFIGHTERS UNION, LOCAL #1604&amp;16
&amp;14FIRE BATTALION CHIEFS</oddHeader>
        <oddFooter>&amp;L* Position is exempt from overtime.&amp;C&amp;"Arial,Bold"&amp;16&amp;A&amp;REffective 01/01/16
System Update 01/xx/16</oddFooter>
      </headerFooter>
    </customSheetView>
  </customSheetViews>
  <mergeCells count="7">
    <mergeCell ref="F1:F2"/>
    <mergeCell ref="G1:G2"/>
    <mergeCell ref="A1:A2"/>
    <mergeCell ref="C1:C2"/>
    <mergeCell ref="D1:D2"/>
    <mergeCell ref="E1:E2"/>
    <mergeCell ref="B1:B2"/>
  </mergeCells>
  <phoneticPr fontId="7" type="noConversion"/>
  <printOptions horizontalCentered="1" gridLines="1"/>
  <pageMargins left="0.25" right="0.25" top="1.93" bottom="1" header="0.5" footer="0.5"/>
  <pageSetup orientation="portrait" r:id="rId4"/>
  <headerFooter alignWithMargins="0">
    <oddHeader>&amp;LOrdinance #  (pay plan adoption)
Resoulution #9453 (2017-20 CBA adoption)&amp;C&amp;"Times New Roman,Bold"&amp;14
2019 CITY OF BELLEVUE PAY PLANS
INTERNATIONAL ASSOCIATION OF FIREFIGHTERS UNION, LOCAL #1604
FIRE BATTALION CHIEFS</oddHeader>
    <oddFooter>&amp;L&amp;"Times New Roman,Regular"* Position is exempt from overtime.&amp;C&amp;"Times New Roman,Bold"&amp;16&amp;A&amp;R&amp;"Times New Roman,Regular"Effective 01/01/19
System Update 01/xx/19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tabColor rgb="FFFFFFCC"/>
  </sheetPr>
  <dimension ref="A1:G30"/>
  <sheetViews>
    <sheetView workbookViewId="0">
      <selection sqref="A1:D1"/>
    </sheetView>
  </sheetViews>
  <sheetFormatPr defaultColWidth="11.42578125" defaultRowHeight="12.75" x14ac:dyDescent="0.2"/>
  <cols>
    <col min="1" max="1" width="9.7109375" style="22" customWidth="1"/>
    <col min="2" max="2" width="17.7109375" style="7" customWidth="1"/>
    <col min="3" max="3" width="44" style="7" bestFit="1" customWidth="1"/>
    <col min="4" max="4" width="8.7109375" style="23" customWidth="1"/>
    <col min="5" max="5" width="1.7109375" style="7" customWidth="1"/>
    <col min="6" max="16384" width="11.42578125" style="7"/>
  </cols>
  <sheetData>
    <row r="1" spans="1:7" ht="20.100000000000001" customHeight="1" x14ac:dyDescent="0.2">
      <c r="A1" s="736" t="s">
        <v>1040</v>
      </c>
      <c r="B1" s="736"/>
      <c r="C1" s="736"/>
      <c r="D1" s="736"/>
      <c r="E1" s="34"/>
    </row>
    <row r="2" spans="1:7" ht="13.5" thickBot="1" x14ac:dyDescent="0.25">
      <c r="B2" s="737"/>
      <c r="C2" s="737"/>
    </row>
    <row r="3" spans="1:7" s="89" customFormat="1" ht="39" thickBot="1" x14ac:dyDescent="0.25">
      <c r="A3" s="143" t="s">
        <v>464</v>
      </c>
      <c r="B3" s="143" t="s">
        <v>465</v>
      </c>
      <c r="C3" s="143" t="s">
        <v>466</v>
      </c>
      <c r="D3" s="82" t="s">
        <v>468</v>
      </c>
      <c r="E3" s="116"/>
      <c r="F3" s="116"/>
      <c r="G3" s="116"/>
    </row>
    <row r="4" spans="1:7" s="89" customFormat="1" ht="18" customHeight="1" x14ac:dyDescent="0.2">
      <c r="A4" s="149">
        <v>1103</v>
      </c>
      <c r="B4" s="150" t="s">
        <v>876</v>
      </c>
      <c r="C4" s="147" t="s">
        <v>839</v>
      </c>
      <c r="D4" s="151">
        <v>0.06</v>
      </c>
    </row>
    <row r="5" spans="1:7" s="89" customFormat="1" ht="18" customHeight="1" x14ac:dyDescent="0.2">
      <c r="A5" s="149">
        <v>1104</v>
      </c>
      <c r="B5" s="152" t="s">
        <v>877</v>
      </c>
      <c r="C5" s="147" t="s">
        <v>840</v>
      </c>
      <c r="D5" s="151">
        <v>7.0000000000000007E-2</v>
      </c>
    </row>
    <row r="6" spans="1:7" s="89" customFormat="1" ht="18" customHeight="1" x14ac:dyDescent="0.2">
      <c r="A6" s="152">
        <v>1100</v>
      </c>
      <c r="B6" s="152" t="s">
        <v>878</v>
      </c>
      <c r="C6" s="147" t="s">
        <v>841</v>
      </c>
      <c r="D6" s="151">
        <v>0.09</v>
      </c>
    </row>
    <row r="7" spans="1:7" s="89" customFormat="1" ht="18" customHeight="1" x14ac:dyDescent="0.2">
      <c r="A7" s="152">
        <v>1101</v>
      </c>
      <c r="B7" s="152" t="s">
        <v>931</v>
      </c>
      <c r="C7" s="147" t="s">
        <v>842</v>
      </c>
      <c r="D7" s="151">
        <v>0.105</v>
      </c>
    </row>
    <row r="8" spans="1:7" s="89" customFormat="1" ht="18" customHeight="1" x14ac:dyDescent="0.2">
      <c r="A8" s="152">
        <v>1115</v>
      </c>
      <c r="B8" s="152" t="s">
        <v>930</v>
      </c>
      <c r="C8" s="148" t="s">
        <v>932</v>
      </c>
      <c r="D8" s="151">
        <v>0.12</v>
      </c>
    </row>
    <row r="9" spans="1:7" s="89" customFormat="1" ht="13.5" thickBot="1" x14ac:dyDescent="0.25">
      <c r="A9" s="142"/>
      <c r="B9" s="144"/>
      <c r="C9" s="145"/>
      <c r="D9" s="146"/>
    </row>
    <row r="10" spans="1:7" ht="24.75" customHeight="1" x14ac:dyDescent="0.2">
      <c r="A10" s="738" t="s">
        <v>1041</v>
      </c>
      <c r="B10" s="738"/>
      <c r="C10" s="738"/>
      <c r="D10" s="738"/>
      <c r="E10" s="89"/>
      <c r="F10" s="89"/>
    </row>
    <row r="11" spans="1:7" ht="16.5" customHeight="1" x14ac:dyDescent="0.2">
      <c r="A11" s="739"/>
      <c r="B11" s="739"/>
      <c r="C11" s="739"/>
      <c r="D11" s="739"/>
      <c r="E11" s="89"/>
      <c r="F11" s="89"/>
    </row>
    <row r="12" spans="1:7" ht="15.75" x14ac:dyDescent="0.25">
      <c r="A12" s="72"/>
      <c r="B12" s="376"/>
      <c r="C12" s="376"/>
      <c r="D12" s="456"/>
      <c r="E12" s="89"/>
      <c r="F12" s="89"/>
    </row>
    <row r="13" spans="1:7" x14ac:dyDescent="0.2">
      <c r="A13" s="461"/>
      <c r="B13" s="462"/>
      <c r="C13" s="462"/>
      <c r="D13" s="463"/>
    </row>
    <row r="14" spans="1:7" ht="16.5" thickBot="1" x14ac:dyDescent="0.25">
      <c r="A14" s="736" t="s">
        <v>1042</v>
      </c>
      <c r="B14" s="736"/>
      <c r="C14" s="736"/>
      <c r="D14" s="736"/>
    </row>
    <row r="15" spans="1:7" x14ac:dyDescent="0.2">
      <c r="A15" s="688" t="s">
        <v>464</v>
      </c>
      <c r="B15" s="688" t="s">
        <v>465</v>
      </c>
      <c r="C15" s="693" t="s">
        <v>466</v>
      </c>
      <c r="D15" s="696" t="s">
        <v>468</v>
      </c>
    </row>
    <row r="16" spans="1:7" x14ac:dyDescent="0.2">
      <c r="A16" s="689"/>
      <c r="B16" s="691"/>
      <c r="C16" s="694"/>
      <c r="D16" s="689"/>
    </row>
    <row r="17" spans="1:4" ht="13.5" thickBot="1" x14ac:dyDescent="0.25">
      <c r="A17" s="690"/>
      <c r="B17" s="692"/>
      <c r="C17" s="695"/>
      <c r="D17" s="690"/>
    </row>
    <row r="18" spans="1:4" x14ac:dyDescent="0.2">
      <c r="A18" s="464" t="s">
        <v>763</v>
      </c>
      <c r="B18" s="465" t="s">
        <v>763</v>
      </c>
      <c r="C18" s="466" t="s">
        <v>1043</v>
      </c>
      <c r="D18" s="467">
        <v>1.4999999999999999E-2</v>
      </c>
    </row>
    <row r="19" spans="1:4" x14ac:dyDescent="0.2">
      <c r="A19" s="464" t="s">
        <v>763</v>
      </c>
      <c r="B19" s="465" t="s">
        <v>763</v>
      </c>
      <c r="C19" s="466" t="s">
        <v>1044</v>
      </c>
      <c r="D19" s="467">
        <v>0.02</v>
      </c>
    </row>
    <row r="20" spans="1:4" x14ac:dyDescent="0.2">
      <c r="A20" s="464" t="s">
        <v>763</v>
      </c>
      <c r="B20" s="465" t="s">
        <v>763</v>
      </c>
      <c r="C20" s="466" t="s">
        <v>1045</v>
      </c>
      <c r="D20" s="467">
        <v>0.03</v>
      </c>
    </row>
    <row r="21" spans="1:4" ht="25.5" x14ac:dyDescent="0.2">
      <c r="A21" s="464" t="s">
        <v>763</v>
      </c>
      <c r="B21" s="465" t="s">
        <v>763</v>
      </c>
      <c r="C21" s="468" t="s">
        <v>1046</v>
      </c>
      <c r="D21" s="467">
        <v>0.03</v>
      </c>
    </row>
    <row r="22" spans="1:4" x14ac:dyDescent="0.2">
      <c r="A22" s="42"/>
      <c r="B22" s="469"/>
      <c r="C22" s="75"/>
      <c r="D22" s="459"/>
    </row>
    <row r="23" spans="1:4" x14ac:dyDescent="0.2">
      <c r="A23" s="470"/>
      <c r="B23" s="458"/>
      <c r="C23" s="471"/>
      <c r="D23" s="459"/>
    </row>
    <row r="24" spans="1:4" x14ac:dyDescent="0.2">
      <c r="A24" s="42">
        <v>1008</v>
      </c>
      <c r="B24" s="472" t="s">
        <v>1047</v>
      </c>
      <c r="C24" s="75" t="s">
        <v>1048</v>
      </c>
      <c r="D24" s="459">
        <v>0.06</v>
      </c>
    </row>
    <row r="25" spans="1:4" x14ac:dyDescent="0.2">
      <c r="A25" s="42">
        <v>1010</v>
      </c>
      <c r="B25" s="472" t="s">
        <v>1049</v>
      </c>
      <c r="C25" s="75" t="s">
        <v>1050</v>
      </c>
      <c r="D25" s="459">
        <v>0.08</v>
      </c>
    </row>
    <row r="26" spans="1:4" x14ac:dyDescent="0.2">
      <c r="A26" s="42">
        <v>1003</v>
      </c>
      <c r="B26" s="472" t="s">
        <v>1051</v>
      </c>
      <c r="C26" s="75" t="s">
        <v>1052</v>
      </c>
      <c r="D26" s="459">
        <v>0.105</v>
      </c>
    </row>
    <row r="27" spans="1:4" x14ac:dyDescent="0.2">
      <c r="A27" s="42">
        <v>1005</v>
      </c>
      <c r="B27" s="472" t="s">
        <v>1053</v>
      </c>
      <c r="C27" s="75" t="s">
        <v>1054</v>
      </c>
      <c r="D27" s="459">
        <v>0.13500000000000001</v>
      </c>
    </row>
    <row r="28" spans="1:4" ht="13.5" thickBot="1" x14ac:dyDescent="0.25">
      <c r="A28" s="77">
        <v>1006</v>
      </c>
      <c r="B28" s="473" t="s">
        <v>1055</v>
      </c>
      <c r="C28" s="474" t="s">
        <v>1056</v>
      </c>
      <c r="D28" s="460">
        <v>0.14499999999999999</v>
      </c>
    </row>
    <row r="29" spans="1:4" x14ac:dyDescent="0.2">
      <c r="A29" s="464" t="s">
        <v>763</v>
      </c>
      <c r="B29" s="466" t="s">
        <v>1057</v>
      </c>
      <c r="C29" s="466" t="s">
        <v>1058</v>
      </c>
      <c r="D29" s="467">
        <v>0.155</v>
      </c>
    </row>
    <row r="30" spans="1:4" ht="13.5" thickBot="1" x14ac:dyDescent="0.25">
      <c r="A30" s="77"/>
      <c r="B30" s="474"/>
      <c r="C30" s="474"/>
      <c r="D30" s="460"/>
    </row>
  </sheetData>
  <customSheetViews>
    <customSheetView guid="{03674138-A9FA-46A6-AB09-A74C70852C0D}" showPageBreaks="1" printArea="1" state="hidden">
      <selection activeCell="A3" sqref="A3"/>
      <pageMargins left="0.25" right="0.25" top="1" bottom="1" header="0.5" footer="0.25"/>
      <printOptions horizontalCentered="1"/>
      <pageSetup fitToHeight="4" orientation="portrait" r:id="rId1"/>
      <headerFooter alignWithMargins="0">
        <oddFooter>&amp;C&amp;"Arial,Bold"&amp;16&amp;A</oddFooter>
      </headerFooter>
    </customSheetView>
    <customSheetView guid="{6140C585-A678-4296-91B8-0C17DF653D09}">
      <selection activeCell="A3" sqref="A3"/>
      <pageMargins left="0.25" right="0.25" top="1" bottom="1" header="0.5" footer="0.25"/>
      <printOptions horizontalCentered="1"/>
      <pageSetup fitToHeight="4" orientation="portrait" r:id="rId2"/>
      <headerFooter alignWithMargins="0">
        <oddFooter>&amp;C&amp;"Arial,Bold"&amp;16&amp;A</oddFooter>
      </headerFooter>
    </customSheetView>
    <customSheetView guid="{49073133-97C6-4E81-BEFE-D9E658C173F7}" showPageBreaks="1" printArea="1">
      <selection activeCell="A3" sqref="A3"/>
      <pageMargins left="0.25" right="0.25" top="1" bottom="1" header="0.5" footer="0.25"/>
      <printOptions horizontalCentered="1"/>
      <pageSetup fitToHeight="4" orientation="portrait" r:id="rId3"/>
      <headerFooter alignWithMargins="0">
        <oddFooter>&amp;C&amp;"Arial,Bold"&amp;16&amp;A</oddFooter>
      </headerFooter>
    </customSheetView>
  </customSheetViews>
  <mergeCells count="8">
    <mergeCell ref="A1:D1"/>
    <mergeCell ref="B2:C2"/>
    <mergeCell ref="A10:D11"/>
    <mergeCell ref="A14:D14"/>
    <mergeCell ref="A15:A17"/>
    <mergeCell ref="B15:B17"/>
    <mergeCell ref="C15:C17"/>
    <mergeCell ref="D15:D17"/>
  </mergeCells>
  <phoneticPr fontId="7" type="noConversion"/>
  <hyperlinks>
    <hyperlink ref="B8" r:id="rId4" xr:uid="{00000000-0004-0000-1100-000000000000}"/>
    <hyperlink ref="B6" r:id="rId5" xr:uid="{00000000-0004-0000-1100-000001000000}"/>
    <hyperlink ref="B7" r:id="rId6" xr:uid="{00000000-0004-0000-1100-000002000000}"/>
  </hyperlinks>
  <printOptions horizontalCentered="1"/>
  <pageMargins left="0.25" right="0.25" top="1" bottom="1" header="0.5" footer="0.25"/>
  <pageSetup fitToHeight="4" orientation="portrait" r:id="rId7"/>
  <headerFooter alignWithMargins="0">
    <oddFooter>&amp;C&amp;"Arial,Bold"&amp;16&amp;A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rgb="FF92D050"/>
    <pageSetUpPr fitToPage="1"/>
  </sheetPr>
  <dimension ref="A1:N216"/>
  <sheetViews>
    <sheetView view="pageLayout" zoomScaleNormal="100" workbookViewId="0">
      <selection sqref="A1:E2"/>
    </sheetView>
  </sheetViews>
  <sheetFormatPr defaultColWidth="9.140625" defaultRowHeight="12.75" x14ac:dyDescent="0.2"/>
  <cols>
    <col min="1" max="1" width="5" style="186" customWidth="1"/>
    <col min="2" max="2" width="1.7109375" style="186" customWidth="1"/>
    <col min="3" max="3" width="8.28515625" style="186" customWidth="1"/>
    <col min="4" max="4" width="45.140625" style="160" bestFit="1" customWidth="1"/>
    <col min="5" max="5" width="12.28515625" style="233" bestFit="1" customWidth="1"/>
    <col min="6" max="6" width="11.140625" style="233" customWidth="1"/>
    <col min="7" max="7" width="12.28515625" style="233" bestFit="1" customWidth="1"/>
    <col min="8" max="8" width="9.85546875" style="160" bestFit="1" customWidth="1"/>
    <col min="9" max="10" width="9.140625" style="160"/>
    <col min="11" max="11" width="17" style="160" bestFit="1" customWidth="1"/>
    <col min="12" max="16384" width="9.140625" style="160"/>
  </cols>
  <sheetData>
    <row r="1" spans="1:14" s="174" customFormat="1" x14ac:dyDescent="0.2">
      <c r="A1" s="657" t="s">
        <v>550</v>
      </c>
      <c r="B1" s="659"/>
      <c r="C1" s="659" t="s">
        <v>0</v>
      </c>
      <c r="D1" s="659" t="s">
        <v>1</v>
      </c>
      <c r="E1" s="676" t="s">
        <v>376</v>
      </c>
      <c r="F1" s="676" t="s">
        <v>378</v>
      </c>
      <c r="G1" s="676" t="s">
        <v>377</v>
      </c>
      <c r="H1" s="305">
        <v>2019</v>
      </c>
      <c r="K1" s="244">
        <v>2019</v>
      </c>
      <c r="L1" s="556">
        <v>1.0324</v>
      </c>
      <c r="M1" s="225"/>
    </row>
    <row r="2" spans="1:14" s="177" customFormat="1" x14ac:dyDescent="0.2">
      <c r="A2" s="658"/>
      <c r="B2" s="658"/>
      <c r="C2" s="658"/>
      <c r="D2" s="660"/>
      <c r="E2" s="677"/>
      <c r="F2" s="677"/>
      <c r="G2" s="677"/>
      <c r="H2" s="304"/>
      <c r="K2" s="293"/>
      <c r="L2" s="161" t="s">
        <v>461</v>
      </c>
      <c r="M2" s="161" t="s">
        <v>462</v>
      </c>
      <c r="N2" s="177" t="s">
        <v>377</v>
      </c>
    </row>
    <row r="3" spans="1:14" x14ac:dyDescent="0.2">
      <c r="A3" s="188" t="s">
        <v>169</v>
      </c>
      <c r="B3" s="186" t="s">
        <v>88</v>
      </c>
      <c r="C3" s="186" t="s">
        <v>908</v>
      </c>
      <c r="D3" s="160" t="s">
        <v>907</v>
      </c>
      <c r="E3" s="227">
        <f>E4/12</f>
        <v>8981.1525000000001</v>
      </c>
      <c r="F3" s="227">
        <f>F4/12</f>
        <v>10689.426666666666</v>
      </c>
      <c r="G3" s="227">
        <f>G4/12</f>
        <v>12397.700833333334</v>
      </c>
      <c r="H3" s="160" t="s">
        <v>10</v>
      </c>
      <c r="K3" s="228" t="s">
        <v>455</v>
      </c>
      <c r="L3" s="204">
        <f>(F3-E3)/E3</f>
        <v>0.19020656498892163</v>
      </c>
      <c r="M3" s="204">
        <f>(G3-F3)/F3</f>
        <v>0.15980970915808407</v>
      </c>
    </row>
    <row r="4" spans="1:14" ht="13.9" customHeight="1" x14ac:dyDescent="0.2">
      <c r="B4" s="434" t="s">
        <v>88</v>
      </c>
      <c r="C4" s="433" t="s">
        <v>1024</v>
      </c>
      <c r="D4" s="160" t="s">
        <v>1025</v>
      </c>
      <c r="E4" s="249">
        <f>ROUND(104391.545*$L$1,2)</f>
        <v>107773.83</v>
      </c>
      <c r="F4" s="233">
        <f>AVERAGE(E4+G4)/2</f>
        <v>128273.12</v>
      </c>
      <c r="G4" s="249">
        <f>ROUND(144103.462*$L$1,2)</f>
        <v>148772.41</v>
      </c>
      <c r="H4" s="160" t="s">
        <v>520</v>
      </c>
      <c r="K4" s="228" t="s">
        <v>456</v>
      </c>
      <c r="L4" s="204">
        <f>(G3-E3)/E3</f>
        <v>0.38041312997784349</v>
      </c>
    </row>
    <row r="5" spans="1:14" x14ac:dyDescent="0.2">
      <c r="B5" s="186" t="s">
        <v>88</v>
      </c>
      <c r="C5" s="186" t="s">
        <v>884</v>
      </c>
      <c r="D5" s="160" t="s">
        <v>885</v>
      </c>
      <c r="E5" s="230">
        <f>E4/2080</f>
        <v>51.814341346153846</v>
      </c>
      <c r="F5" s="230">
        <f>F4/2080</f>
        <v>61.669769230769226</v>
      </c>
      <c r="G5" s="230">
        <f>G4/2080</f>
        <v>71.525197115384614</v>
      </c>
      <c r="H5" s="160" t="s">
        <v>11</v>
      </c>
      <c r="K5" s="228" t="s">
        <v>457</v>
      </c>
      <c r="L5" s="204">
        <f>(E16-E3)/E3</f>
        <v>5.0956340699778301E-2</v>
      </c>
      <c r="M5" s="204">
        <f>(F16-F3)/F3</f>
        <v>5.0784256280661175E-2</v>
      </c>
      <c r="N5" s="204">
        <f>(G16-G3)/G3</f>
        <v>5.0659594746095729E-2</v>
      </c>
    </row>
    <row r="6" spans="1:14" x14ac:dyDescent="0.2">
      <c r="B6" s="186" t="s">
        <v>88</v>
      </c>
      <c r="C6" s="186" t="s">
        <v>924</v>
      </c>
      <c r="D6" s="160" t="s">
        <v>925</v>
      </c>
    </row>
    <row r="7" spans="1:14" x14ac:dyDescent="0.2">
      <c r="B7" s="186" t="s">
        <v>88</v>
      </c>
      <c r="C7" s="188" t="s">
        <v>363</v>
      </c>
      <c r="D7" s="189" t="s">
        <v>544</v>
      </c>
      <c r="E7" s="170"/>
      <c r="F7" s="170"/>
      <c r="G7" s="170"/>
      <c r="K7" s="228"/>
      <c r="L7" s="204"/>
      <c r="M7" s="204"/>
      <c r="N7" s="204"/>
    </row>
    <row r="8" spans="1:14" x14ac:dyDescent="0.2">
      <c r="A8" s="302"/>
      <c r="B8" s="186" t="s">
        <v>88</v>
      </c>
      <c r="C8" s="186" t="s">
        <v>501</v>
      </c>
      <c r="D8" s="189" t="s">
        <v>543</v>
      </c>
      <c r="E8" s="170"/>
      <c r="F8" s="170"/>
      <c r="G8" s="170"/>
      <c r="K8" s="228"/>
      <c r="L8" s="204"/>
      <c r="M8" s="204"/>
      <c r="N8" s="204"/>
    </row>
    <row r="9" spans="1:14" x14ac:dyDescent="0.2">
      <c r="B9" s="302" t="s">
        <v>88</v>
      </c>
      <c r="C9" s="302" t="s">
        <v>974</v>
      </c>
      <c r="D9" s="342" t="s">
        <v>975</v>
      </c>
    </row>
    <row r="10" spans="1:14" x14ac:dyDescent="0.2">
      <c r="B10" s="186" t="s">
        <v>88</v>
      </c>
      <c r="C10" s="188" t="s">
        <v>364</v>
      </c>
      <c r="D10" s="189" t="s">
        <v>488</v>
      </c>
    </row>
    <row r="11" spans="1:14" x14ac:dyDescent="0.2">
      <c r="B11" s="186" t="s">
        <v>88</v>
      </c>
      <c r="C11" s="186" t="s">
        <v>1119</v>
      </c>
      <c r="D11" s="189" t="s">
        <v>1120</v>
      </c>
    </row>
    <row r="12" spans="1:14" x14ac:dyDescent="0.2">
      <c r="B12" s="186" t="s">
        <v>88</v>
      </c>
      <c r="C12" s="186" t="s">
        <v>365</v>
      </c>
      <c r="D12" s="189" t="s">
        <v>542</v>
      </c>
    </row>
    <row r="13" spans="1:14" x14ac:dyDescent="0.2">
      <c r="A13" s="422"/>
      <c r="B13" s="186" t="s">
        <v>88</v>
      </c>
      <c r="C13" s="188" t="s">
        <v>366</v>
      </c>
      <c r="D13" s="189" t="s">
        <v>541</v>
      </c>
    </row>
    <row r="14" spans="1:14" x14ac:dyDescent="0.2">
      <c r="B14" s="186" t="s">
        <v>88</v>
      </c>
      <c r="C14" s="186" t="s">
        <v>836</v>
      </c>
      <c r="D14" s="231" t="s">
        <v>837</v>
      </c>
    </row>
    <row r="15" spans="1:14" ht="35.1" customHeight="1" x14ac:dyDescent="0.2">
      <c r="D15" s="231"/>
    </row>
    <row r="16" spans="1:14" x14ac:dyDescent="0.2">
      <c r="A16" s="188" t="s">
        <v>170</v>
      </c>
      <c r="B16" s="186" t="s">
        <v>88</v>
      </c>
      <c r="C16" s="188" t="s">
        <v>367</v>
      </c>
      <c r="D16" s="189" t="s">
        <v>540</v>
      </c>
      <c r="E16" s="227">
        <f>E17/12</f>
        <v>9438.7991666666658</v>
      </c>
      <c r="F16" s="227">
        <f>F17/12</f>
        <v>11232.28125</v>
      </c>
      <c r="G16" s="227">
        <f>G17/12</f>
        <v>13025.763333333334</v>
      </c>
      <c r="H16" s="160" t="s">
        <v>10</v>
      </c>
      <c r="K16" s="228" t="s">
        <v>455</v>
      </c>
      <c r="L16" s="204">
        <f>(F16-E16)/E16</f>
        <v>0.19001167962838506</v>
      </c>
      <c r="M16" s="204">
        <f>(G16-F16)/F16</f>
        <v>0.1596721132079322</v>
      </c>
    </row>
    <row r="17" spans="2:14" x14ac:dyDescent="0.2">
      <c r="B17" s="186" t="s">
        <v>88</v>
      </c>
      <c r="C17" s="188" t="s">
        <v>371</v>
      </c>
      <c r="D17" s="160" t="s">
        <v>1000</v>
      </c>
      <c r="E17" s="249">
        <f>ROUND(109710.958*$L$1,2)</f>
        <v>113265.59</v>
      </c>
      <c r="F17" s="233">
        <f>(E17+G17)/2</f>
        <v>134787.375</v>
      </c>
      <c r="G17" s="249">
        <f>ROUND(151403.684*$L$1,2)</f>
        <v>156309.16</v>
      </c>
      <c r="H17" s="160" t="s">
        <v>520</v>
      </c>
      <c r="K17" s="228" t="s">
        <v>456</v>
      </c>
      <c r="L17" s="204">
        <f>(G16-E16)/E16</f>
        <v>0.38002335925677011</v>
      </c>
    </row>
    <row r="18" spans="2:14" x14ac:dyDescent="0.2">
      <c r="B18" s="186" t="s">
        <v>88</v>
      </c>
      <c r="C18" s="188" t="s">
        <v>368</v>
      </c>
      <c r="D18" s="160" t="s">
        <v>53</v>
      </c>
      <c r="E18" s="230">
        <f>E17/2080</f>
        <v>54.454610576923073</v>
      </c>
      <c r="F18" s="230">
        <f>F17/2080</f>
        <v>64.801622596153848</v>
      </c>
      <c r="G18" s="230">
        <f>G17/2080</f>
        <v>75.148634615384623</v>
      </c>
      <c r="H18" s="160" t="s">
        <v>11</v>
      </c>
      <c r="K18" s="228"/>
      <c r="L18" s="204"/>
      <c r="M18" s="204"/>
      <c r="N18" s="204"/>
    </row>
    <row r="19" spans="2:14" x14ac:dyDescent="0.2">
      <c r="B19" s="186" t="s">
        <v>88</v>
      </c>
      <c r="C19" s="186" t="s">
        <v>602</v>
      </c>
      <c r="D19" s="165" t="s">
        <v>605</v>
      </c>
    </row>
    <row r="20" spans="2:14" x14ac:dyDescent="0.2">
      <c r="B20" s="186" t="s">
        <v>88</v>
      </c>
      <c r="C20" s="186" t="s">
        <v>601</v>
      </c>
      <c r="D20" s="165" t="s">
        <v>604</v>
      </c>
    </row>
    <row r="21" spans="2:14" x14ac:dyDescent="0.2">
      <c r="B21" s="186" t="s">
        <v>88</v>
      </c>
      <c r="C21" s="188" t="s">
        <v>369</v>
      </c>
      <c r="D21" s="189" t="s">
        <v>603</v>
      </c>
      <c r="E21" s="170"/>
      <c r="F21" s="170"/>
      <c r="G21" s="170"/>
      <c r="K21" s="228"/>
      <c r="L21" s="204"/>
      <c r="M21" s="204"/>
      <c r="N21" s="204"/>
    </row>
    <row r="22" spans="2:14" x14ac:dyDescent="0.2">
      <c r="B22" s="186" t="s">
        <v>88</v>
      </c>
      <c r="C22" s="188" t="s">
        <v>370</v>
      </c>
      <c r="D22" s="160" t="s">
        <v>55</v>
      </c>
    </row>
    <row r="23" spans="2:14" x14ac:dyDescent="0.2">
      <c r="B23" s="186" t="s">
        <v>88</v>
      </c>
      <c r="C23" s="188" t="s">
        <v>372</v>
      </c>
      <c r="D23" s="160" t="s">
        <v>54</v>
      </c>
    </row>
    <row r="25" spans="2:14" ht="35.1" customHeight="1" x14ac:dyDescent="0.2"/>
    <row r="27" spans="2:14" x14ac:dyDescent="0.2">
      <c r="C27" s="188"/>
    </row>
    <row r="28" spans="2:14" x14ac:dyDescent="0.2">
      <c r="C28" s="188"/>
    </row>
    <row r="31" spans="2:14" x14ac:dyDescent="0.2">
      <c r="C31" s="188"/>
    </row>
    <row r="32" spans="2:14" x14ac:dyDescent="0.2">
      <c r="C32" s="188"/>
    </row>
    <row r="35" spans="3:3" x14ac:dyDescent="0.2">
      <c r="C35" s="188"/>
    </row>
    <row r="36" spans="3:3" x14ac:dyDescent="0.2">
      <c r="C36" s="188"/>
    </row>
    <row r="39" spans="3:3" x14ac:dyDescent="0.2">
      <c r="C39" s="188"/>
    </row>
    <row r="40" spans="3:3" x14ac:dyDescent="0.2">
      <c r="C40" s="188"/>
    </row>
    <row r="41" spans="3:3" x14ac:dyDescent="0.2">
      <c r="C41" s="188"/>
    </row>
    <row r="42" spans="3:3" x14ac:dyDescent="0.2">
      <c r="C42" s="188"/>
    </row>
    <row r="44" spans="3:3" x14ac:dyDescent="0.2">
      <c r="C44" s="188"/>
    </row>
    <row r="45" spans="3:3" x14ac:dyDescent="0.2">
      <c r="C45" s="188"/>
    </row>
    <row r="48" spans="3:3" x14ac:dyDescent="0.2">
      <c r="C48" s="188"/>
    </row>
    <row r="49" spans="3:9" x14ac:dyDescent="0.2">
      <c r="C49" s="188"/>
    </row>
    <row r="52" spans="3:9" x14ac:dyDescent="0.2">
      <c r="C52" s="188"/>
    </row>
    <row r="53" spans="3:9" x14ac:dyDescent="0.2">
      <c r="C53" s="188"/>
    </row>
    <row r="54" spans="3:9" x14ac:dyDescent="0.2">
      <c r="C54" s="188"/>
    </row>
    <row r="55" spans="3:9" x14ac:dyDescent="0.2">
      <c r="C55" s="188"/>
    </row>
    <row r="57" spans="3:9" x14ac:dyDescent="0.2">
      <c r="C57" s="188"/>
      <c r="D57" s="189"/>
    </row>
    <row r="59" spans="3:9" x14ac:dyDescent="0.2">
      <c r="C59" s="188"/>
    </row>
    <row r="60" spans="3:9" x14ac:dyDescent="0.2">
      <c r="C60" s="188"/>
    </row>
    <row r="61" spans="3:9" x14ac:dyDescent="0.2">
      <c r="C61" s="188"/>
      <c r="I61" s="437"/>
    </row>
    <row r="62" spans="3:9" x14ac:dyDescent="0.2">
      <c r="C62" s="188"/>
    </row>
    <row r="63" spans="3:9" x14ac:dyDescent="0.2">
      <c r="C63" s="188"/>
    </row>
    <row r="64" spans="3:9" x14ac:dyDescent="0.2">
      <c r="C64" s="188"/>
    </row>
    <row r="66" spans="3:9" x14ac:dyDescent="0.2">
      <c r="C66" s="188"/>
    </row>
    <row r="67" spans="3:9" x14ac:dyDescent="0.2">
      <c r="C67" s="188"/>
    </row>
    <row r="68" spans="3:9" x14ac:dyDescent="0.2">
      <c r="C68" s="188"/>
    </row>
    <row r="69" spans="3:9" x14ac:dyDescent="0.2">
      <c r="C69" s="188"/>
    </row>
    <row r="70" spans="3:9" x14ac:dyDescent="0.2">
      <c r="C70" s="188"/>
    </row>
    <row r="71" spans="3:9" x14ac:dyDescent="0.2">
      <c r="C71" s="188"/>
    </row>
    <row r="73" spans="3:9" x14ac:dyDescent="0.2">
      <c r="C73" s="188"/>
    </row>
    <row r="74" spans="3:9" x14ac:dyDescent="0.2">
      <c r="C74" s="188"/>
    </row>
    <row r="75" spans="3:9" x14ac:dyDescent="0.2">
      <c r="C75" s="188"/>
    </row>
    <row r="77" spans="3:9" x14ac:dyDescent="0.2">
      <c r="C77" s="188"/>
      <c r="I77" s="437"/>
    </row>
    <row r="78" spans="3:9" x14ac:dyDescent="0.2">
      <c r="C78" s="188"/>
      <c r="D78" s="189"/>
    </row>
    <row r="79" spans="3:9" x14ac:dyDescent="0.2">
      <c r="C79" s="188"/>
    </row>
    <row r="80" spans="3:9" x14ac:dyDescent="0.2">
      <c r="C80" s="188"/>
    </row>
    <row r="83" spans="3:4" x14ac:dyDescent="0.2">
      <c r="C83" s="188"/>
    </row>
    <row r="84" spans="3:4" x14ac:dyDescent="0.2">
      <c r="C84" s="188"/>
      <c r="D84" s="231"/>
    </row>
    <row r="85" spans="3:4" x14ac:dyDescent="0.2">
      <c r="C85" s="188"/>
    </row>
    <row r="86" spans="3:4" x14ac:dyDescent="0.2">
      <c r="C86" s="188"/>
    </row>
    <row r="87" spans="3:4" x14ac:dyDescent="0.2">
      <c r="C87" s="188"/>
    </row>
    <row r="88" spans="3:4" x14ac:dyDescent="0.2">
      <c r="C88" s="188"/>
    </row>
    <row r="89" spans="3:4" x14ac:dyDescent="0.2">
      <c r="C89" s="188"/>
    </row>
    <row r="90" spans="3:4" x14ac:dyDescent="0.2">
      <c r="C90" s="188"/>
    </row>
    <row r="91" spans="3:4" x14ac:dyDescent="0.2">
      <c r="C91" s="188"/>
    </row>
    <row r="92" spans="3:4" x14ac:dyDescent="0.2">
      <c r="C92" s="188"/>
    </row>
    <row r="94" spans="3:4" x14ac:dyDescent="0.2">
      <c r="C94" s="188"/>
    </row>
    <row r="95" spans="3:4" x14ac:dyDescent="0.2">
      <c r="C95" s="188"/>
      <c r="D95" s="231"/>
    </row>
    <row r="96" spans="3:4" x14ac:dyDescent="0.2">
      <c r="C96" s="188"/>
    </row>
    <row r="97" spans="3:4" x14ac:dyDescent="0.2">
      <c r="C97" s="188"/>
    </row>
    <row r="98" spans="3:4" x14ac:dyDescent="0.2">
      <c r="C98" s="188"/>
    </row>
    <row r="99" spans="3:4" x14ac:dyDescent="0.2">
      <c r="C99" s="188"/>
      <c r="D99" s="189"/>
    </row>
    <row r="100" spans="3:4" x14ac:dyDescent="0.2">
      <c r="C100" s="188"/>
    </row>
    <row r="101" spans="3:4" x14ac:dyDescent="0.2">
      <c r="C101" s="188"/>
      <c r="D101" s="189"/>
    </row>
    <row r="102" spans="3:4" x14ac:dyDescent="0.2">
      <c r="C102" s="188"/>
    </row>
    <row r="103" spans="3:4" x14ac:dyDescent="0.2">
      <c r="C103" s="188"/>
    </row>
    <row r="104" spans="3:4" x14ac:dyDescent="0.2">
      <c r="C104" s="188"/>
    </row>
    <row r="105" spans="3:4" x14ac:dyDescent="0.2">
      <c r="C105" s="188"/>
    </row>
    <row r="106" spans="3:4" x14ac:dyDescent="0.2">
      <c r="C106" s="188"/>
    </row>
    <row r="109" spans="3:4" x14ac:dyDescent="0.2">
      <c r="C109" s="188"/>
    </row>
    <row r="110" spans="3:4" x14ac:dyDescent="0.2">
      <c r="C110" s="188"/>
    </row>
    <row r="111" spans="3:4" x14ac:dyDescent="0.2">
      <c r="C111" s="188"/>
    </row>
    <row r="112" spans="3:4" x14ac:dyDescent="0.2">
      <c r="C112" s="188"/>
    </row>
    <row r="113" spans="3:4" x14ac:dyDescent="0.2">
      <c r="C113" s="188"/>
    </row>
    <row r="114" spans="3:4" x14ac:dyDescent="0.2">
      <c r="C114" s="188"/>
    </row>
    <row r="116" spans="3:4" x14ac:dyDescent="0.2">
      <c r="C116" s="188"/>
    </row>
    <row r="117" spans="3:4" x14ac:dyDescent="0.2">
      <c r="C117" s="188"/>
      <c r="D117" s="231"/>
    </row>
    <row r="118" spans="3:4" x14ac:dyDescent="0.2">
      <c r="C118" s="188"/>
    </row>
    <row r="120" spans="3:4" x14ac:dyDescent="0.2">
      <c r="C120" s="188"/>
    </row>
    <row r="122" spans="3:4" x14ac:dyDescent="0.2">
      <c r="C122" s="188"/>
    </row>
    <row r="123" spans="3:4" x14ac:dyDescent="0.2">
      <c r="C123" s="188"/>
      <c r="D123" s="231"/>
    </row>
    <row r="124" spans="3:4" x14ac:dyDescent="0.2">
      <c r="C124" s="188"/>
    </row>
    <row r="216" spans="9:9" x14ac:dyDescent="0.2">
      <c r="I216" s="437"/>
    </row>
  </sheetData>
  <customSheetViews>
    <customSheetView guid="{03674138-A9FA-46A6-AB09-A74C70852C0D}" showPageBreaks="1" fitToPage="1" printArea="1" view="pageLayout">
      <selection activeCell="H21" sqref="H21"/>
      <pageMargins left="0.25" right="0.25" top="1.75" bottom="1" header="0.5" footer="0.5"/>
      <printOptions horizontalCentered="1" gridLines="1"/>
      <pageSetup scale="61" orientation="portrait" r:id="rId1"/>
      <headerFooter alignWithMargins="0">
        <oddHeader>&amp;L&amp;"Times New Roman,Regular"Ordinance #  (budget adoption)&amp;C&amp;"Times New Roman,Bold"&amp;16ATTACHMENT I
2016 CITY OF BELLEVUE PAY PLANS
MIDDLE MANAGEMENT
ASSISTANT AND DEPUTY DIRECTORS</oddHeader>
        <oddFooter>&amp;L&amp;"Times New Roman,Regular"* Position is exempt from overtime.&amp;C&amp;"Times New Roman,Bold"&amp;16&amp;A</oddFooter>
      </headerFooter>
    </customSheetView>
    <customSheetView guid="{6140C585-A678-4296-91B8-0C17DF653D09}" showPageBreaks="1" fitToPage="1" printArea="1" view="pageLayout">
      <selection sqref="A1:A2"/>
      <pageMargins left="0.25" right="0.25" top="1.75" bottom="1" header="0.5" footer="0.5"/>
      <printOptions horizontalCentered="1" gridLines="1"/>
      <pageSetup scale="62" orientation="portrait" r:id="rId2"/>
      <headerFooter alignWithMargins="0">
        <oddHeader>&amp;LOrdinance #  (budget adoption)&amp;C&amp;"Arial,Bold"&amp;16
2016 CITY OF BELLEVUE PAY PLANS
&amp;14MIDDLE MANAGEMENT
ASSISTANT AND DEPUTY DIRECTORS</oddHeader>
        <oddFooter xml:space="preserve">&amp;L* Position is exempt from overtime.&amp;C&amp;"Arial,Bold"&amp;16&amp;A&amp;REffective 01/01/16
System Update 01/xx/16 </oddFooter>
      </headerFooter>
    </customSheetView>
    <customSheetView guid="{49073133-97C6-4E81-BEFE-D9E658C173F7}" showPageBreaks="1" fitToPage="1" printArea="1" view="pageLayout">
      <selection sqref="A1:A2"/>
      <pageMargins left="0.25" right="0.25" top="1.75" bottom="1" header="0.5" footer="0.5"/>
      <printOptions horizontalCentered="1" gridLines="1"/>
      <pageSetup scale="61" orientation="portrait" r:id="rId3"/>
      <headerFooter alignWithMargins="0">
        <oddHeader>&amp;LOrdinance #  (budget adoption)&amp;C&amp;"Arial,Bold"&amp;16
2016 CITY OF BELLEVUE PAY PLANS
&amp;14MIDDLE MANAGEMENT
ASSISTANT AND DEPUTY DIRECTORS</oddHeader>
        <oddFooter xml:space="preserve">&amp;L* Position is exempt from overtime.&amp;C&amp;"Arial,Bold"&amp;16&amp;A&amp;REffective 01/01/16
System Update 01/xx/16 </oddFooter>
      </headerFooter>
    </customSheetView>
  </customSheetViews>
  <mergeCells count="7">
    <mergeCell ref="F1:F2"/>
    <mergeCell ref="G1:G2"/>
    <mergeCell ref="A1:A2"/>
    <mergeCell ref="C1:C2"/>
    <mergeCell ref="D1:D2"/>
    <mergeCell ref="E1:E2"/>
    <mergeCell ref="B1:B2"/>
  </mergeCells>
  <phoneticPr fontId="7" type="noConversion"/>
  <printOptions horizontalCentered="1" gridLines="1"/>
  <pageMargins left="0.25" right="0.25" top="1.75" bottom="1" header="0.5" footer="0.5"/>
  <pageSetup scale="98" orientation="portrait" r:id="rId4"/>
  <headerFooter alignWithMargins="0">
    <oddHeader>&amp;LOrdinance # (budget adoption)&amp;C&amp;"Times New Roman,Bold"&amp;14
2019 CITY OF BELLEVUE PAY PLANS
MIDDLE MANAGEMENT
ASSISTANT AND DEPUTY DIRECTORS</oddHeader>
    <oddFooter xml:space="preserve">&amp;L&amp;"Times New Roman,Regular"* Position is exempt from overtime.&amp;C&amp;"Times New Roman,Bold"&amp;16&amp;A&amp;R&amp;"Times New Roman,Regular"Effective 01/01/19
System Update 01/xx/19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>
    <tabColor rgb="FF92D050"/>
    <pageSetUpPr fitToPage="1"/>
  </sheetPr>
  <dimension ref="A1:V216"/>
  <sheetViews>
    <sheetView view="pageLayout" zoomScaleNormal="100" workbookViewId="0">
      <selection sqref="A1:A2"/>
    </sheetView>
  </sheetViews>
  <sheetFormatPr defaultRowHeight="12.75" x14ac:dyDescent="0.2"/>
  <cols>
    <col min="1" max="1" width="5" customWidth="1"/>
    <col min="2" max="2" width="8.28515625" customWidth="1"/>
    <col min="3" max="3" width="27.140625" bestFit="1" customWidth="1"/>
    <col min="4" max="4" width="11.28515625" bestFit="1" customWidth="1"/>
    <col min="5" max="9" width="10.28515625" bestFit="1" customWidth="1"/>
    <col min="10" max="10" width="9.85546875" bestFit="1" customWidth="1"/>
  </cols>
  <sheetData>
    <row r="1" spans="1:22" x14ac:dyDescent="0.2">
      <c r="A1" s="657" t="s">
        <v>550</v>
      </c>
      <c r="B1" s="659" t="s">
        <v>0</v>
      </c>
      <c r="C1" s="659" t="s">
        <v>1</v>
      </c>
      <c r="D1" s="661" t="s">
        <v>1089</v>
      </c>
      <c r="E1" s="661"/>
      <c r="F1" s="661"/>
      <c r="G1" s="661"/>
      <c r="H1" s="661"/>
      <c r="I1" s="661"/>
      <c r="J1" s="157">
        <v>2018</v>
      </c>
      <c r="K1" s="158" t="s">
        <v>1015</v>
      </c>
      <c r="L1" s="395">
        <v>1.0269999999999999</v>
      </c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2" spans="1:22" x14ac:dyDescent="0.2">
      <c r="A2" s="658"/>
      <c r="B2" s="658"/>
      <c r="C2" s="660"/>
      <c r="D2" s="161">
        <v>1</v>
      </c>
      <c r="E2" s="161">
        <v>2</v>
      </c>
      <c r="F2" s="161">
        <v>3</v>
      </c>
      <c r="G2" s="161">
        <v>4</v>
      </c>
      <c r="H2" s="161">
        <v>5</v>
      </c>
      <c r="I2" s="161">
        <v>6</v>
      </c>
      <c r="J2" s="162"/>
      <c r="K2" s="158"/>
      <c r="L2" s="159"/>
      <c r="M2" s="160"/>
      <c r="N2" s="160"/>
      <c r="O2" s="160"/>
      <c r="P2" s="160"/>
      <c r="Q2" s="160"/>
      <c r="R2" s="160"/>
      <c r="S2" s="160"/>
      <c r="T2" s="160"/>
      <c r="U2" s="160"/>
      <c r="V2" s="160"/>
    </row>
    <row r="3" spans="1:22" s="3" customFormat="1" x14ac:dyDescent="0.2">
      <c r="A3" s="163" t="s">
        <v>621</v>
      </c>
      <c r="B3" s="164" t="s">
        <v>622</v>
      </c>
      <c r="C3" s="165" t="s">
        <v>623</v>
      </c>
      <c r="D3" s="166">
        <f>14.5574*$L$1</f>
        <v>14.950449799999998</v>
      </c>
      <c r="E3" s="166">
        <f>15.51432*$L$1</f>
        <v>15.933206639999998</v>
      </c>
      <c r="F3" s="166">
        <f>16.55268*$L$1</f>
        <v>16.999602359999997</v>
      </c>
      <c r="G3" s="166">
        <f>17.6623*$L$1</f>
        <v>18.139182099999996</v>
      </c>
      <c r="H3" s="166">
        <f>18.82282*$L$1</f>
        <v>19.331036139999998</v>
      </c>
      <c r="I3" s="166">
        <f>20.09532*$L$1</f>
        <v>20.637893639999998</v>
      </c>
      <c r="J3" s="163" t="s">
        <v>11</v>
      </c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:22" s="3" customFormat="1" x14ac:dyDescent="0.2">
      <c r="A4" s="163"/>
      <c r="B4" s="163" t="s">
        <v>624</v>
      </c>
      <c r="C4" s="165" t="s">
        <v>625</v>
      </c>
      <c r="D4" s="166"/>
      <c r="E4" s="166"/>
      <c r="F4" s="166"/>
      <c r="G4" s="166"/>
      <c r="H4" s="166"/>
      <c r="I4" s="166"/>
      <c r="J4" s="168"/>
      <c r="K4" s="167"/>
      <c r="L4" s="169"/>
      <c r="M4" s="167"/>
      <c r="N4" s="167"/>
      <c r="O4" s="167"/>
      <c r="P4" s="167"/>
      <c r="Q4" s="167"/>
      <c r="R4" s="167"/>
      <c r="S4" s="167"/>
      <c r="T4" s="167"/>
      <c r="U4" s="167"/>
      <c r="V4" s="167"/>
    </row>
    <row r="5" spans="1:22" s="3" customFormat="1" x14ac:dyDescent="0.2">
      <c r="A5" s="163"/>
      <c r="B5" s="163"/>
      <c r="C5" s="167"/>
      <c r="D5" s="170"/>
      <c r="E5" s="170"/>
      <c r="F5" s="170"/>
      <c r="G5" s="170"/>
      <c r="H5" s="170"/>
      <c r="I5" s="170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</row>
    <row r="6" spans="1:22" s="3" customFormat="1" x14ac:dyDescent="0.2">
      <c r="A6" s="163" t="s">
        <v>626</v>
      </c>
      <c r="B6" s="164" t="s">
        <v>627</v>
      </c>
      <c r="C6" s="165" t="s">
        <v>628</v>
      </c>
      <c r="D6" s="166">
        <f>17.74374*$L$1</f>
        <v>18.222820979999998</v>
      </c>
      <c r="E6" s="166">
        <f>18.9348*$L$1</f>
        <v>19.446039599999999</v>
      </c>
      <c r="F6" s="166">
        <f>20.19712*$L$1</f>
        <v>20.742442239999999</v>
      </c>
      <c r="G6" s="166">
        <f>21.54088*$L$1</f>
        <v>22.122483759999998</v>
      </c>
      <c r="H6" s="166">
        <f>22.96608*$L$1</f>
        <v>23.586164159999999</v>
      </c>
      <c r="I6" s="166">
        <f>24.50326*$L$1</f>
        <v>25.164848019999997</v>
      </c>
      <c r="J6" s="163" t="s">
        <v>11</v>
      </c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</row>
    <row r="7" spans="1:22" s="3" customFormat="1" x14ac:dyDescent="0.2">
      <c r="A7" s="163"/>
      <c r="B7" s="163" t="s">
        <v>629</v>
      </c>
      <c r="C7" s="165" t="s">
        <v>630</v>
      </c>
      <c r="D7" s="166"/>
      <c r="E7" s="166"/>
      <c r="F7" s="166"/>
      <c r="G7" s="166"/>
      <c r="H7" s="166"/>
      <c r="I7" s="166"/>
      <c r="J7" s="168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</row>
    <row r="8" spans="1:22" s="3" customFormat="1" x14ac:dyDescent="0.2">
      <c r="A8" s="163"/>
      <c r="B8" s="163"/>
      <c r="C8" s="167"/>
      <c r="D8" s="170"/>
      <c r="E8" s="170"/>
      <c r="F8" s="170"/>
      <c r="G8" s="170"/>
      <c r="H8" s="170"/>
      <c r="I8" s="170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</row>
    <row r="9" spans="1:22" s="3" customFormat="1" x14ac:dyDescent="0.2">
      <c r="A9" s="163"/>
      <c r="B9" s="163"/>
      <c r="C9" s="167"/>
      <c r="D9" s="171"/>
      <c r="E9" s="171"/>
      <c r="F9" s="171"/>
      <c r="G9" s="171"/>
      <c r="H9" s="171"/>
      <c r="I9" s="171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</row>
    <row r="10" spans="1:22" s="3" customFormat="1" x14ac:dyDescent="0.2">
      <c r="A10" s="163"/>
      <c r="B10" s="172" t="s">
        <v>631</v>
      </c>
      <c r="C10" s="167" t="s">
        <v>632</v>
      </c>
      <c r="D10" s="171"/>
      <c r="E10" s="171"/>
      <c r="F10" s="171"/>
      <c r="G10" s="171"/>
      <c r="H10" s="171"/>
      <c r="I10" s="171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</row>
    <row r="11" spans="1:22" s="3" customFormat="1" x14ac:dyDescent="0.2">
      <c r="A11" s="163"/>
      <c r="B11" s="172" t="s">
        <v>633</v>
      </c>
      <c r="C11" s="165" t="s">
        <v>634</v>
      </c>
      <c r="D11" s="171"/>
      <c r="E11" s="171"/>
      <c r="F11" s="171"/>
      <c r="G11" s="171"/>
      <c r="H11" s="171"/>
      <c r="I11" s="171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</row>
    <row r="12" spans="1:22" s="3" customFormat="1" x14ac:dyDescent="0.2">
      <c r="A12" s="167"/>
      <c r="B12" s="167"/>
      <c r="C12" s="167"/>
      <c r="D12" s="166"/>
      <c r="E12" s="166"/>
      <c r="F12" s="166"/>
      <c r="G12" s="166"/>
      <c r="H12" s="166"/>
      <c r="I12" s="166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</row>
    <row r="13" spans="1:22" s="3" customFormat="1" ht="20.25" x14ac:dyDescent="0.3">
      <c r="A13" s="173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</row>
    <row r="14" spans="1:22" s="3" customFormat="1" x14ac:dyDescent="0.2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</row>
    <row r="15" spans="1:22" x14ac:dyDescent="0.2">
      <c r="A15" s="160"/>
      <c r="B15" s="160"/>
      <c r="C15" s="160"/>
      <c r="D15" s="167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</row>
    <row r="16" spans="1:22" x14ac:dyDescent="0.2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</row>
    <row r="17" spans="1:22" x14ac:dyDescent="0.2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</row>
    <row r="18" spans="1:22" x14ac:dyDescent="0.2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</row>
    <row r="19" spans="1:22" x14ac:dyDescent="0.2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</row>
    <row r="20" spans="1:22" x14ac:dyDescent="0.2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</row>
    <row r="21" spans="1:22" x14ac:dyDescent="0.2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</row>
    <row r="22" spans="1:22" x14ac:dyDescent="0.2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</row>
    <row r="23" spans="1:22" x14ac:dyDescent="0.2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</row>
    <row r="24" spans="1:22" x14ac:dyDescent="0.2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</row>
    <row r="25" spans="1:22" x14ac:dyDescent="0.2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</row>
    <row r="26" spans="1:22" x14ac:dyDescent="0.2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</row>
    <row r="27" spans="1:22" x14ac:dyDescent="0.2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</row>
    <row r="28" spans="1:22" x14ac:dyDescent="0.2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</row>
    <row r="29" spans="1:22" x14ac:dyDescent="0.2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</row>
    <row r="30" spans="1:22" x14ac:dyDescent="0.2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</row>
    <row r="31" spans="1:22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</row>
    <row r="32" spans="1:22" x14ac:dyDescent="0.2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</row>
    <row r="33" spans="1:22" x14ac:dyDescent="0.2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</row>
    <row r="34" spans="1:22" x14ac:dyDescent="0.2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</row>
    <row r="35" spans="1:22" x14ac:dyDescent="0.2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</row>
    <row r="36" spans="1:22" x14ac:dyDescent="0.2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</row>
    <row r="37" spans="1:22" x14ac:dyDescent="0.2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</row>
    <row r="38" spans="1:22" x14ac:dyDescent="0.2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</row>
    <row r="39" spans="1:22" x14ac:dyDescent="0.2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</row>
    <row r="40" spans="1:22" x14ac:dyDescent="0.2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</row>
    <row r="41" spans="1:22" x14ac:dyDescent="0.2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</row>
    <row r="42" spans="1:22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</row>
    <row r="43" spans="1:22" x14ac:dyDescent="0.2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</row>
    <row r="44" spans="1:22" x14ac:dyDescent="0.2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</row>
    <row r="45" spans="1:22" x14ac:dyDescent="0.2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</row>
    <row r="46" spans="1:22" x14ac:dyDescent="0.2">
      <c r="A46" s="160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</row>
    <row r="47" spans="1:22" x14ac:dyDescent="0.2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</row>
    <row r="48" spans="1:22" x14ac:dyDescent="0.2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</row>
    <row r="49" spans="1:22" x14ac:dyDescent="0.2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</row>
    <row r="50" spans="1:22" x14ac:dyDescent="0.2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</row>
    <row r="51" spans="1:22" x14ac:dyDescent="0.2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</row>
    <row r="52" spans="1:22" x14ac:dyDescent="0.2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</row>
    <row r="53" spans="1:22" x14ac:dyDescent="0.2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</row>
    <row r="54" spans="1:22" x14ac:dyDescent="0.2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</row>
    <row r="55" spans="1:22" x14ac:dyDescent="0.2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</row>
    <row r="56" spans="1:22" x14ac:dyDescent="0.2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</row>
    <row r="57" spans="1:22" x14ac:dyDescent="0.2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</row>
    <row r="58" spans="1:22" x14ac:dyDescent="0.2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</row>
    <row r="59" spans="1:22" x14ac:dyDescent="0.2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</row>
    <row r="60" spans="1:22" x14ac:dyDescent="0.2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</row>
    <row r="61" spans="1:22" x14ac:dyDescent="0.2">
      <c r="A61" s="160"/>
      <c r="B61" s="160"/>
      <c r="C61" s="160"/>
      <c r="D61" s="160"/>
      <c r="E61" s="160"/>
      <c r="F61" s="160"/>
      <c r="G61" s="160"/>
      <c r="H61" s="160"/>
      <c r="I61" s="437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</row>
    <row r="62" spans="1:22" x14ac:dyDescent="0.2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</row>
    <row r="63" spans="1:22" x14ac:dyDescent="0.2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</row>
    <row r="64" spans="1:22" x14ac:dyDescent="0.2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</row>
    <row r="65" spans="1:22" x14ac:dyDescent="0.2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</row>
    <row r="66" spans="1:22" x14ac:dyDescent="0.2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</row>
    <row r="67" spans="1:22" x14ac:dyDescent="0.2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</row>
    <row r="68" spans="1:22" x14ac:dyDescent="0.2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</row>
    <row r="69" spans="1:22" x14ac:dyDescent="0.2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</row>
    <row r="70" spans="1:22" x14ac:dyDescent="0.2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</row>
    <row r="71" spans="1:22" x14ac:dyDescent="0.2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</row>
    <row r="72" spans="1:22" x14ac:dyDescent="0.2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</row>
    <row r="73" spans="1:22" x14ac:dyDescent="0.2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</row>
    <row r="74" spans="1:22" x14ac:dyDescent="0.2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</row>
    <row r="75" spans="1:22" x14ac:dyDescent="0.2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</row>
    <row r="76" spans="1:22" x14ac:dyDescent="0.2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</row>
    <row r="77" spans="1:22" x14ac:dyDescent="0.2">
      <c r="A77" s="160"/>
      <c r="B77" s="160"/>
      <c r="C77" s="160"/>
      <c r="D77" s="160"/>
      <c r="E77" s="160"/>
      <c r="F77" s="160"/>
      <c r="G77" s="160"/>
      <c r="H77" s="160"/>
      <c r="I77" s="437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</row>
    <row r="78" spans="1:22" x14ac:dyDescent="0.2">
      <c r="A78" s="160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</row>
    <row r="79" spans="1:22" x14ac:dyDescent="0.2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</row>
    <row r="80" spans="1:22" x14ac:dyDescent="0.2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</row>
    <row r="81" spans="1:22" x14ac:dyDescent="0.2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</row>
    <row r="82" spans="1:22" x14ac:dyDescent="0.2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</row>
    <row r="83" spans="1:22" x14ac:dyDescent="0.2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</row>
    <row r="84" spans="1:22" x14ac:dyDescent="0.2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</row>
    <row r="85" spans="1:22" x14ac:dyDescent="0.2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</row>
    <row r="86" spans="1:22" x14ac:dyDescent="0.2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</row>
    <row r="87" spans="1:22" x14ac:dyDescent="0.2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</row>
    <row r="88" spans="1:22" x14ac:dyDescent="0.2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</row>
    <row r="89" spans="1:22" x14ac:dyDescent="0.2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</row>
    <row r="90" spans="1:22" x14ac:dyDescent="0.2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</row>
    <row r="91" spans="1:22" x14ac:dyDescent="0.2">
      <c r="A91" s="160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</row>
    <row r="92" spans="1:22" x14ac:dyDescent="0.2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</row>
    <row r="93" spans="1:22" x14ac:dyDescent="0.2">
      <c r="A93" s="160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</row>
    <row r="94" spans="1:22" x14ac:dyDescent="0.2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</row>
    <row r="95" spans="1:22" x14ac:dyDescent="0.2">
      <c r="A95" s="160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</row>
    <row r="96" spans="1:22" x14ac:dyDescent="0.2">
      <c r="A96" s="16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</row>
    <row r="97" spans="1:22" x14ac:dyDescent="0.2">
      <c r="A97" s="160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</row>
    <row r="98" spans="1:22" x14ac:dyDescent="0.2">
      <c r="A98" s="160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</row>
    <row r="99" spans="1:22" x14ac:dyDescent="0.2">
      <c r="A99" s="160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</row>
    <row r="100" spans="1:22" x14ac:dyDescent="0.2">
      <c r="A100" s="160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</row>
    <row r="101" spans="1:22" x14ac:dyDescent="0.2">
      <c r="A101" s="160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</row>
    <row r="102" spans="1:22" x14ac:dyDescent="0.2">
      <c r="A102" s="160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</row>
    <row r="103" spans="1:22" x14ac:dyDescent="0.2">
      <c r="A103" s="160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</row>
    <row r="104" spans="1:22" x14ac:dyDescent="0.2">
      <c r="A104" s="160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</row>
    <row r="105" spans="1:22" x14ac:dyDescent="0.2">
      <c r="A105" s="160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</row>
    <row r="106" spans="1:22" x14ac:dyDescent="0.2">
      <c r="A106" s="160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</row>
    <row r="107" spans="1:22" x14ac:dyDescent="0.2">
      <c r="A107" s="160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</row>
    <row r="108" spans="1:22" x14ac:dyDescent="0.2">
      <c r="A108" s="160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</row>
    <row r="109" spans="1:22" x14ac:dyDescent="0.2">
      <c r="A109" s="160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</row>
    <row r="110" spans="1:22" x14ac:dyDescent="0.2">
      <c r="A110" s="160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</row>
    <row r="111" spans="1:22" x14ac:dyDescent="0.2">
      <c r="A111" s="160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</row>
    <row r="112" spans="1:22" x14ac:dyDescent="0.2">
      <c r="A112" s="160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</row>
    <row r="113" spans="1:22" x14ac:dyDescent="0.2">
      <c r="A113" s="160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</row>
    <row r="114" spans="1:22" x14ac:dyDescent="0.2">
      <c r="A114" s="160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</row>
    <row r="115" spans="1:22" x14ac:dyDescent="0.2">
      <c r="A115" s="160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</row>
    <row r="116" spans="1:22" x14ac:dyDescent="0.2">
      <c r="A116" s="160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</row>
    <row r="117" spans="1:22" x14ac:dyDescent="0.2">
      <c r="A117" s="160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</row>
    <row r="118" spans="1:22" x14ac:dyDescent="0.2">
      <c r="A118" s="160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</row>
    <row r="119" spans="1:22" x14ac:dyDescent="0.2">
      <c r="A119" s="160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</row>
    <row r="120" spans="1:22" x14ac:dyDescent="0.2">
      <c r="A120" s="160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</row>
    <row r="121" spans="1:22" x14ac:dyDescent="0.2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</row>
    <row r="122" spans="1:22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</row>
    <row r="123" spans="1:22" x14ac:dyDescent="0.2">
      <c r="A123" s="160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</row>
    <row r="124" spans="1:22" x14ac:dyDescent="0.2">
      <c r="A124" s="160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</row>
    <row r="125" spans="1:22" x14ac:dyDescent="0.2">
      <c r="A125" s="160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</row>
    <row r="126" spans="1:22" x14ac:dyDescent="0.2">
      <c r="A126" s="160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</row>
    <row r="127" spans="1:22" x14ac:dyDescent="0.2">
      <c r="A127" s="160"/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</row>
    <row r="128" spans="1:22" x14ac:dyDescent="0.2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</row>
    <row r="129" spans="1:22" x14ac:dyDescent="0.2">
      <c r="A129" s="160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</row>
    <row r="130" spans="1:22" x14ac:dyDescent="0.2">
      <c r="A130" s="160"/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</row>
    <row r="131" spans="1:22" x14ac:dyDescent="0.2">
      <c r="A131" s="160"/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</row>
    <row r="132" spans="1:22" x14ac:dyDescent="0.2">
      <c r="A132" s="160"/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</row>
    <row r="133" spans="1:22" x14ac:dyDescent="0.2">
      <c r="A133" s="160"/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</row>
    <row r="134" spans="1:22" x14ac:dyDescent="0.2">
      <c r="A134" s="160"/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</row>
    <row r="135" spans="1:22" x14ac:dyDescent="0.2">
      <c r="A135" s="160"/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</row>
    <row r="136" spans="1:22" x14ac:dyDescent="0.2">
      <c r="A136" s="160"/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</row>
    <row r="137" spans="1:22" x14ac:dyDescent="0.2">
      <c r="A137" s="160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</row>
    <row r="138" spans="1:22" x14ac:dyDescent="0.2">
      <c r="A138" s="160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</row>
    <row r="139" spans="1:22" x14ac:dyDescent="0.2">
      <c r="A139" s="160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</row>
    <row r="140" spans="1:22" x14ac:dyDescent="0.2">
      <c r="A140" s="160"/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</row>
    <row r="141" spans="1:22" x14ac:dyDescent="0.2">
      <c r="A141" s="160"/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</row>
    <row r="142" spans="1:22" x14ac:dyDescent="0.2">
      <c r="A142" s="160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</row>
    <row r="143" spans="1:22" x14ac:dyDescent="0.2">
      <c r="A143" s="160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</row>
    <row r="144" spans="1:22" x14ac:dyDescent="0.2">
      <c r="A144" s="160"/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</row>
    <row r="145" spans="1:22" x14ac:dyDescent="0.2">
      <c r="A145" s="160"/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</row>
    <row r="146" spans="1:22" x14ac:dyDescent="0.2">
      <c r="A146" s="160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</row>
    <row r="147" spans="1:22" x14ac:dyDescent="0.2">
      <c r="A147" s="160"/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</row>
    <row r="148" spans="1:22" x14ac:dyDescent="0.2">
      <c r="A148" s="160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</row>
    <row r="149" spans="1:22" x14ac:dyDescent="0.2">
      <c r="A149" s="160"/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</row>
    <row r="150" spans="1:22" x14ac:dyDescent="0.2">
      <c r="A150" s="160"/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</row>
    <row r="151" spans="1:22" x14ac:dyDescent="0.2">
      <c r="A151" s="160"/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</row>
    <row r="152" spans="1:22" x14ac:dyDescent="0.2">
      <c r="A152" s="160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</row>
    <row r="153" spans="1:22" x14ac:dyDescent="0.2">
      <c r="A153" s="160"/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</row>
    <row r="154" spans="1:22" x14ac:dyDescent="0.2">
      <c r="A154" s="160"/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</row>
    <row r="155" spans="1:22" x14ac:dyDescent="0.2">
      <c r="A155" s="160"/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</row>
    <row r="156" spans="1:22" x14ac:dyDescent="0.2">
      <c r="A156" s="160"/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</row>
    <row r="157" spans="1:22" x14ac:dyDescent="0.2">
      <c r="A157" s="160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</row>
    <row r="158" spans="1:22" x14ac:dyDescent="0.2">
      <c r="A158" s="160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</row>
    <row r="159" spans="1:22" x14ac:dyDescent="0.2">
      <c r="A159" s="160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</row>
    <row r="160" spans="1:22" x14ac:dyDescent="0.2">
      <c r="A160" s="160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</row>
    <row r="161" spans="1:22" x14ac:dyDescent="0.2">
      <c r="A161" s="160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</row>
    <row r="162" spans="1:22" x14ac:dyDescent="0.2">
      <c r="A162" s="160"/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</row>
    <row r="163" spans="1:22" x14ac:dyDescent="0.2">
      <c r="A163" s="160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</row>
    <row r="164" spans="1:22" x14ac:dyDescent="0.2">
      <c r="A164" s="160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</row>
    <row r="165" spans="1:22" x14ac:dyDescent="0.2">
      <c r="A165" s="160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</row>
    <row r="166" spans="1:22" x14ac:dyDescent="0.2">
      <c r="A166" s="160"/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</row>
    <row r="167" spans="1:22" x14ac:dyDescent="0.2">
      <c r="A167" s="160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</row>
    <row r="168" spans="1:22" x14ac:dyDescent="0.2">
      <c r="A168" s="160"/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</row>
    <row r="169" spans="1:22" x14ac:dyDescent="0.2">
      <c r="A169" s="160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</row>
    <row r="170" spans="1:22" x14ac:dyDescent="0.2">
      <c r="A170" s="160"/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</row>
    <row r="171" spans="1:22" x14ac:dyDescent="0.2">
      <c r="A171" s="160"/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</row>
    <row r="172" spans="1:22" x14ac:dyDescent="0.2">
      <c r="A172" s="160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</row>
    <row r="173" spans="1:22" x14ac:dyDescent="0.2">
      <c r="A173" s="160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</row>
    <row r="174" spans="1:22" x14ac:dyDescent="0.2">
      <c r="A174" s="160"/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</row>
    <row r="175" spans="1:22" x14ac:dyDescent="0.2">
      <c r="A175" s="160"/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</row>
    <row r="176" spans="1:22" x14ac:dyDescent="0.2">
      <c r="A176" s="160"/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</row>
    <row r="177" spans="1:22" x14ac:dyDescent="0.2">
      <c r="A177" s="160"/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</row>
    <row r="178" spans="1:22" x14ac:dyDescent="0.2">
      <c r="A178" s="160"/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</row>
    <row r="179" spans="1:22" x14ac:dyDescent="0.2">
      <c r="A179" s="160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</row>
    <row r="180" spans="1:22" x14ac:dyDescent="0.2">
      <c r="A180" s="160"/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</row>
    <row r="181" spans="1:22" x14ac:dyDescent="0.2">
      <c r="A181" s="160"/>
      <c r="B181" s="160"/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</row>
    <row r="182" spans="1:22" x14ac:dyDescent="0.2">
      <c r="A182" s="160"/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</row>
    <row r="183" spans="1:22" x14ac:dyDescent="0.2">
      <c r="A183" s="160"/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</row>
    <row r="184" spans="1:22" x14ac:dyDescent="0.2">
      <c r="A184" s="160"/>
      <c r="B184" s="160"/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</row>
    <row r="185" spans="1:22" x14ac:dyDescent="0.2">
      <c r="A185" s="160"/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</row>
    <row r="186" spans="1:22" x14ac:dyDescent="0.2">
      <c r="A186" s="160"/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</row>
    <row r="187" spans="1:22" x14ac:dyDescent="0.2">
      <c r="A187" s="160"/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</row>
    <row r="188" spans="1:22" x14ac:dyDescent="0.2">
      <c r="A188" s="160"/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</row>
    <row r="189" spans="1:22" x14ac:dyDescent="0.2">
      <c r="A189" s="160"/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</row>
    <row r="190" spans="1:22" x14ac:dyDescent="0.2">
      <c r="A190" s="160"/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</row>
    <row r="191" spans="1:22" x14ac:dyDescent="0.2">
      <c r="A191" s="160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</row>
    <row r="192" spans="1:22" x14ac:dyDescent="0.2">
      <c r="A192" s="160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</row>
    <row r="193" spans="1:22" x14ac:dyDescent="0.2">
      <c r="A193" s="160"/>
      <c r="B193" s="160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</row>
    <row r="194" spans="1:22" x14ac:dyDescent="0.2">
      <c r="A194" s="160"/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</row>
    <row r="195" spans="1:22" x14ac:dyDescent="0.2">
      <c r="A195" s="160"/>
      <c r="B195" s="160"/>
      <c r="C195" s="160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</row>
    <row r="196" spans="1:22" x14ac:dyDescent="0.2">
      <c r="A196" s="160"/>
      <c r="B196" s="160"/>
      <c r="C196" s="160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</row>
    <row r="197" spans="1:22" x14ac:dyDescent="0.2">
      <c r="A197" s="160"/>
      <c r="B197" s="160"/>
      <c r="C197" s="160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</row>
    <row r="198" spans="1:22" x14ac:dyDescent="0.2">
      <c r="A198" s="160"/>
      <c r="B198" s="160"/>
      <c r="C198" s="160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</row>
    <row r="199" spans="1:22" x14ac:dyDescent="0.2">
      <c r="A199" s="160"/>
      <c r="B199" s="160"/>
      <c r="C199" s="160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</row>
    <row r="200" spans="1:22" x14ac:dyDescent="0.2">
      <c r="A200" s="160"/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</row>
    <row r="201" spans="1:22" x14ac:dyDescent="0.2">
      <c r="A201" s="160"/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</row>
    <row r="202" spans="1:22" x14ac:dyDescent="0.2">
      <c r="A202" s="160"/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</row>
    <row r="203" spans="1:22" x14ac:dyDescent="0.2">
      <c r="A203" s="160"/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</row>
    <row r="204" spans="1:22" x14ac:dyDescent="0.2">
      <c r="D204" s="160"/>
    </row>
    <row r="216" spans="9:9" x14ac:dyDescent="0.2">
      <c r="I216" s="437"/>
    </row>
  </sheetData>
  <customSheetViews>
    <customSheetView guid="{03674138-A9FA-46A6-AB09-A74C70852C0D}" showPageBreaks="1" fitToPage="1" printArea="1" view="pageLayout">
      <selection activeCell="I19" sqref="I19"/>
      <pageMargins left="0" right="0" top="2" bottom="1" header="0.5" footer="0.5"/>
      <printOptions horizontalCentered="1" gridLines="1"/>
      <pageSetup scale="79" orientation="portrait" r:id="rId1"/>
      <headerFooter alignWithMargins="0">
        <oddHeader>&amp;L&amp;"Times New Roman,Regular"Ordinance #  (budget adoption)
Resolution #8384 (contract adoption)&amp;C&amp;"Times New Roman,Bold"&amp;14
 ATTACHMENT I
2014 CITY OF BELLEVUE PAY PLANS
TEAMSTERS LOCAL UNION NO 763
UTILITIES, PARKS &amp;&amp; CIVIC SERVICES</oddHeader>
        <oddFooter>&amp;C&amp;"Times New Roman,Regular"&amp;A</oddFooter>
      </headerFooter>
    </customSheetView>
    <customSheetView guid="{6140C585-A678-4296-91B8-0C17DF653D09}" showPageBreaks="1" fitToPage="1" printArea="1" view="pageLayout">
      <selection sqref="A1:A2"/>
      <pageMargins left="0" right="0" top="2" bottom="1" header="0.5" footer="0.5"/>
      <printOptions horizontalCentered="1" gridLines="1"/>
      <pageSetup scale="91" orientation="portrait" r:id="rId2"/>
      <headerFooter alignWithMargins="0">
        <oddHeader>&amp;LOrdinance #  (budget adoption)
Resolution #8384 (contract adoption)&amp;C&amp;"Arial,Bold"&amp;14
 2014 CITY OF BELLEVUE PAY PLANS
TEAMSTERS LOCAL UNION NO 763
UTILITIES, PARKS &amp;&amp; CIVIC SERVICES</oddHeader>
        <oddFooter xml:space="preserve">&amp;C&amp;A&amp;REffective 01/01/14,
System Update  </oddFooter>
      </headerFooter>
    </customSheetView>
    <customSheetView guid="{49073133-97C6-4E81-BEFE-D9E658C173F7}" showPageBreaks="1" fitToPage="1" printArea="1" view="pageLayout">
      <selection sqref="A1:A2"/>
      <pageMargins left="0" right="0" top="2" bottom="1" header="0.5" footer="0.5"/>
      <printOptions horizontalCentered="1" gridLines="1"/>
      <pageSetup scale="91" orientation="portrait" r:id="rId3"/>
      <headerFooter alignWithMargins="0">
        <oddHeader>&amp;LOrdinance #  (budget adoption)
Resolution #8384 (contract adoption)&amp;C&amp;"Arial,Bold"&amp;14
 2014 CITY OF BELLEVUE PAY PLANS
TEAMSTERS LOCAL UNION NO 763
UTILITIES, PARKS &amp;&amp; CIVIC SERVICES</oddHeader>
        <oddFooter xml:space="preserve">&amp;C&amp;A&amp;REffective 01/01/14,
System Update  </oddFooter>
      </headerFooter>
    </customSheetView>
  </customSheetViews>
  <mergeCells count="4">
    <mergeCell ref="A1:A2"/>
    <mergeCell ref="B1:B2"/>
    <mergeCell ref="C1:C2"/>
    <mergeCell ref="D1:I1"/>
  </mergeCells>
  <phoneticPr fontId="7" type="noConversion"/>
  <printOptions horizontalCentered="1" gridLines="1"/>
  <pageMargins left="0" right="0" top="2" bottom="1" header="0.5" footer="0.5"/>
  <pageSetup scale="92" orientation="portrait" r:id="rId4"/>
  <headerFooter alignWithMargins="0">
    <oddHeader>&amp;LOrdinance #  (pay plan adoption)
Resolution #9044 (contract adoption)&amp;C&amp;"Times New Roman,Bold"&amp;14
  2018 CITY OF BELLEVUE PAY PLANS
TEAMSTERS UNION LOCAL NO 763
UTILITIES, PARKS, CIVIC SERVICES &amp;&amp; TRANSPORTATION</oddHeader>
    <oddFooter xml:space="preserve">&amp;C&amp;"Times New Roman,Regular"&amp;A&amp;R&amp;"Times New Roman,Regular"Effective 01/01/18
System Update 01/xx/18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rgb="FF92D050"/>
    <pageSetUpPr fitToPage="1"/>
  </sheetPr>
  <dimension ref="A1:G6"/>
  <sheetViews>
    <sheetView workbookViewId="0">
      <pane ySplit="3" topLeftCell="A4" activePane="bottomLeft" state="frozen"/>
      <selection activeCell="D22" sqref="D22"/>
      <selection pane="bottomLeft" sqref="A1:D1"/>
    </sheetView>
  </sheetViews>
  <sheetFormatPr defaultColWidth="11.42578125" defaultRowHeight="12.75" x14ac:dyDescent="0.2"/>
  <cols>
    <col min="1" max="1" width="9.7109375" style="22" customWidth="1"/>
    <col min="2" max="2" width="17.7109375" style="7" customWidth="1"/>
    <col min="3" max="3" width="44" style="7" bestFit="1" customWidth="1"/>
    <col min="4" max="4" width="8.7109375" style="23" customWidth="1"/>
    <col min="5" max="5" width="1.7109375" style="7" customWidth="1"/>
    <col min="6" max="16384" width="11.42578125" style="7"/>
  </cols>
  <sheetData>
    <row r="1" spans="1:7" ht="20.100000000000001" customHeight="1" x14ac:dyDescent="0.2">
      <c r="A1" s="736" t="s">
        <v>596</v>
      </c>
      <c r="B1" s="736"/>
      <c r="C1" s="736"/>
      <c r="D1" s="736"/>
      <c r="E1" s="34"/>
    </row>
    <row r="2" spans="1:7" ht="13.5" thickBot="1" x14ac:dyDescent="0.25"/>
    <row r="3" spans="1:7" ht="39" thickBot="1" x14ac:dyDescent="0.25">
      <c r="A3" s="26" t="s">
        <v>464</v>
      </c>
      <c r="B3" s="26" t="s">
        <v>465</v>
      </c>
      <c r="C3" s="26" t="s">
        <v>466</v>
      </c>
      <c r="D3" s="27" t="s">
        <v>468</v>
      </c>
      <c r="E3" s="6"/>
      <c r="F3" s="6"/>
      <c r="G3" s="6"/>
    </row>
    <row r="4" spans="1:7" x14ac:dyDescent="0.2">
      <c r="A4" s="8"/>
      <c r="B4" s="9"/>
      <c r="C4" s="9"/>
      <c r="D4" s="10"/>
    </row>
    <row r="5" spans="1:7" ht="18" customHeight="1" x14ac:dyDescent="0.2">
      <c r="A5" s="11">
        <v>1001</v>
      </c>
      <c r="B5" s="39" t="s">
        <v>597</v>
      </c>
      <c r="C5" s="39" t="s">
        <v>598</v>
      </c>
      <c r="D5" s="12">
        <v>0.08</v>
      </c>
    </row>
    <row r="6" spans="1:7" ht="13.5" thickBot="1" x14ac:dyDescent="0.25">
      <c r="A6" s="14"/>
      <c r="B6" s="15"/>
      <c r="C6" s="16"/>
      <c r="D6" s="17"/>
    </row>
  </sheetData>
  <customSheetViews>
    <customSheetView guid="{03674138-A9FA-46A6-AB09-A74C70852C0D}" showPageBreaks="1" fitToPage="1" printArea="1" state="hidden">
      <pane ySplit="3" topLeftCell="A4" activePane="bottomLeft" state="frozen"/>
      <selection pane="bottomLeft" activeCell="A4" sqref="A4"/>
      <pageMargins left="0.25" right="0.25" top="1" bottom="1" header="0.5" footer="0.25"/>
      <printOptions horizontalCentered="1"/>
      <pageSetup fitToHeight="4" orientation="portrait" r:id="rId1"/>
      <headerFooter alignWithMargins="0">
        <oddFooter>&amp;C&amp;"Arial,Bold"&amp;16&amp;A</oddFooter>
      </headerFooter>
    </customSheetView>
    <customSheetView guid="{6140C585-A678-4296-91B8-0C17DF653D09}" fitToPage="1">
      <pane ySplit="3" topLeftCell="A4" activePane="bottomLeft" state="frozen"/>
      <selection pane="bottomLeft" activeCell="A4" sqref="A4"/>
      <pageMargins left="0.25" right="0.25" top="1" bottom="1" header="0.5" footer="0.25"/>
      <printOptions horizontalCentered="1"/>
      <pageSetup fitToHeight="4" orientation="portrait" r:id="rId2"/>
      <headerFooter alignWithMargins="0">
        <oddFooter>&amp;C&amp;"Arial,Bold"&amp;16&amp;A</oddFooter>
      </headerFooter>
    </customSheetView>
    <customSheetView guid="{49073133-97C6-4E81-BEFE-D9E658C173F7}" showPageBreaks="1" fitToPage="1" printArea="1">
      <pane ySplit="3" topLeftCell="A4" activePane="bottomLeft" state="frozen"/>
      <selection pane="bottomLeft" activeCell="A4" sqref="A4"/>
      <pageMargins left="0.25" right="0.25" top="1" bottom="1" header="0.5" footer="0.25"/>
      <printOptions horizontalCentered="1"/>
      <pageSetup fitToHeight="4" orientation="portrait" r:id="rId3"/>
      <headerFooter alignWithMargins="0">
        <oddFooter>&amp;C&amp;"Arial,Bold"&amp;16&amp;A</oddFooter>
      </headerFooter>
    </customSheetView>
  </customSheetViews>
  <mergeCells count="1">
    <mergeCell ref="A1:D1"/>
  </mergeCells>
  <phoneticPr fontId="7" type="noConversion"/>
  <printOptions horizontalCentered="1"/>
  <pageMargins left="0.25" right="0.25" top="1" bottom="1" header="0.5" footer="0.25"/>
  <pageSetup fitToHeight="4" orientation="portrait" r:id="rId4"/>
  <headerFooter alignWithMargins="0">
    <oddFooter>&amp;C&amp;"Arial,Bold"&amp;16&amp;A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>
    <tabColor rgb="FF92D050"/>
  </sheetPr>
  <dimension ref="A1:J216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5" style="186" customWidth="1"/>
    <col min="2" max="2" width="8.7109375" style="186" customWidth="1"/>
    <col min="3" max="3" width="37.7109375" style="160" customWidth="1"/>
    <col min="4" max="6" width="8.28515625" style="187" customWidth="1"/>
    <col min="7" max="8" width="11.140625" style="187" bestFit="1" customWidth="1"/>
    <col min="9" max="9" width="11.5703125" style="160" bestFit="1" customWidth="1"/>
    <col min="10" max="10" width="24.42578125" style="160" bestFit="1" customWidth="1"/>
    <col min="11" max="16384" width="9.140625" style="160"/>
  </cols>
  <sheetData>
    <row r="1" spans="1:10" s="174" customFormat="1" x14ac:dyDescent="0.2">
      <c r="A1" s="709" t="s">
        <v>550</v>
      </c>
      <c r="B1" s="707" t="s">
        <v>0</v>
      </c>
      <c r="C1" s="707" t="s">
        <v>1</v>
      </c>
      <c r="D1" s="718" t="s">
        <v>2</v>
      </c>
      <c r="E1" s="718"/>
      <c r="F1" s="718"/>
      <c r="G1" s="718"/>
      <c r="H1" s="718"/>
      <c r="I1" s="547">
        <v>2019</v>
      </c>
    </row>
    <row r="2" spans="1:10" s="177" customFormat="1" x14ac:dyDescent="0.2">
      <c r="A2" s="708"/>
      <c r="B2" s="708"/>
      <c r="C2" s="710"/>
      <c r="D2" s="235">
        <v>1</v>
      </c>
      <c r="E2" s="235">
        <v>2</v>
      </c>
      <c r="F2" s="235">
        <v>3</v>
      </c>
      <c r="G2" s="235">
        <v>4</v>
      </c>
      <c r="H2" s="235">
        <v>5</v>
      </c>
      <c r="I2" s="308"/>
    </row>
    <row r="3" spans="1:10" x14ac:dyDescent="0.2">
      <c r="A3" s="163" t="s">
        <v>666</v>
      </c>
      <c r="B3" s="179" t="s">
        <v>358</v>
      </c>
      <c r="C3" s="252" t="s">
        <v>529</v>
      </c>
      <c r="D3" s="171"/>
      <c r="E3" s="171"/>
      <c r="F3" s="171"/>
      <c r="G3" s="170">
        <f>+H3*94.17%</f>
        <v>9724.0263355125007</v>
      </c>
      <c r="H3" s="170">
        <f>'F - Firefighters (rep)'!H3*127.875%</f>
        <v>10326.034125</v>
      </c>
      <c r="I3" s="167" t="s">
        <v>10</v>
      </c>
      <c r="J3" s="160" t="s">
        <v>648</v>
      </c>
    </row>
    <row r="4" spans="1:10" x14ac:dyDescent="0.2">
      <c r="A4" s="163"/>
      <c r="B4" s="179" t="s">
        <v>359</v>
      </c>
      <c r="C4" s="165" t="s">
        <v>19</v>
      </c>
      <c r="D4" s="171"/>
      <c r="E4" s="171"/>
      <c r="F4" s="171"/>
      <c r="G4" s="170">
        <f>12*G3</f>
        <v>116688.31602615002</v>
      </c>
      <c r="H4" s="170">
        <f>12*H3</f>
        <v>123912.40950000001</v>
      </c>
      <c r="I4" s="167" t="s">
        <v>520</v>
      </c>
    </row>
    <row r="5" spans="1:10" x14ac:dyDescent="0.2">
      <c r="A5" s="163"/>
      <c r="B5" s="179"/>
      <c r="C5" s="165" t="s">
        <v>651</v>
      </c>
      <c r="D5" s="170"/>
      <c r="E5" s="170"/>
      <c r="F5" s="170"/>
      <c r="G5" s="170">
        <f>G4/2080</f>
        <v>56.100151935649045</v>
      </c>
      <c r="H5" s="170">
        <f>H4/2080</f>
        <v>59.573273798076926</v>
      </c>
      <c r="I5" s="167" t="s">
        <v>11</v>
      </c>
    </row>
    <row r="6" spans="1:10" x14ac:dyDescent="0.2">
      <c r="A6" s="163"/>
      <c r="B6" s="179"/>
      <c r="C6" s="165" t="s">
        <v>647</v>
      </c>
      <c r="D6" s="170"/>
      <c r="E6" s="170"/>
      <c r="F6" s="170"/>
      <c r="G6" s="170"/>
      <c r="H6" s="170"/>
      <c r="I6" s="167"/>
    </row>
    <row r="7" spans="1:10" x14ac:dyDescent="0.2">
      <c r="A7" s="163"/>
      <c r="B7" s="179"/>
      <c r="C7" s="165" t="s">
        <v>649</v>
      </c>
      <c r="D7" s="170"/>
      <c r="E7" s="170"/>
      <c r="F7" s="170"/>
      <c r="G7" s="170"/>
      <c r="H7" s="170"/>
      <c r="I7" s="167"/>
    </row>
    <row r="8" spans="1:10" x14ac:dyDescent="0.2">
      <c r="A8" s="163"/>
      <c r="B8" s="179"/>
      <c r="C8" s="165" t="s">
        <v>650</v>
      </c>
      <c r="D8" s="170"/>
      <c r="E8" s="170"/>
      <c r="F8" s="170"/>
      <c r="G8" s="170"/>
      <c r="H8" s="170"/>
      <c r="I8" s="167"/>
    </row>
    <row r="9" spans="1:10" ht="35.1" customHeight="1" x14ac:dyDescent="0.2">
      <c r="A9" s="163"/>
      <c r="B9" s="179"/>
      <c r="C9" s="167"/>
      <c r="D9" s="170"/>
      <c r="E9" s="170"/>
      <c r="F9" s="170"/>
      <c r="G9" s="170"/>
      <c r="H9" s="170"/>
      <c r="I9" s="167"/>
    </row>
    <row r="10" spans="1:10" x14ac:dyDescent="0.2">
      <c r="A10" s="163" t="s">
        <v>667</v>
      </c>
      <c r="B10" s="163" t="s">
        <v>459</v>
      </c>
      <c r="C10" s="167" t="s">
        <v>530</v>
      </c>
      <c r="D10" s="171"/>
      <c r="E10" s="171"/>
      <c r="F10" s="544"/>
      <c r="G10" s="170">
        <f>'F - Firefighters (rep)'!G39</f>
        <v>10696.428969063752</v>
      </c>
      <c r="H10" s="170">
        <f>'F - Firefighters (rep)'!H39</f>
        <v>11358.637537500003</v>
      </c>
      <c r="I10" s="167" t="s">
        <v>10</v>
      </c>
      <c r="J10" s="160" t="s">
        <v>652</v>
      </c>
    </row>
    <row r="11" spans="1:10" x14ac:dyDescent="0.2">
      <c r="A11" s="163"/>
      <c r="B11" s="163" t="s">
        <v>460</v>
      </c>
      <c r="C11" s="167" t="s">
        <v>750</v>
      </c>
      <c r="D11" s="171"/>
      <c r="E11" s="171"/>
      <c r="F11" s="171"/>
      <c r="G11" s="170">
        <f>12*G10</f>
        <v>128357.14762876503</v>
      </c>
      <c r="H11" s="170">
        <f>12*H10</f>
        <v>136303.65045000002</v>
      </c>
      <c r="I11" s="167" t="s">
        <v>520</v>
      </c>
    </row>
    <row r="12" spans="1:10" x14ac:dyDescent="0.2">
      <c r="A12" s="163"/>
      <c r="B12" s="163"/>
      <c r="C12" s="167"/>
      <c r="D12" s="171"/>
      <c r="E12" s="171"/>
      <c r="F12" s="171"/>
      <c r="G12" s="170">
        <f>G11/2080</f>
        <v>61.710167129213957</v>
      </c>
      <c r="H12" s="170">
        <f>H11/2080</f>
        <v>65.53060117788462</v>
      </c>
      <c r="I12" s="167" t="s">
        <v>11</v>
      </c>
    </row>
    <row r="13" spans="1:10" x14ac:dyDescent="0.2">
      <c r="A13" s="163"/>
      <c r="B13" s="163"/>
      <c r="C13" s="167"/>
      <c r="D13" s="171"/>
      <c r="E13" s="171"/>
      <c r="F13" s="171"/>
      <c r="G13" s="171"/>
      <c r="H13" s="171"/>
      <c r="I13" s="167"/>
    </row>
    <row r="14" spans="1:10" x14ac:dyDescent="0.2">
      <c r="A14" s="163"/>
      <c r="B14" s="163"/>
      <c r="C14" s="167"/>
      <c r="D14" s="171"/>
      <c r="E14" s="171"/>
      <c r="F14" s="171"/>
      <c r="G14" s="171"/>
      <c r="H14" s="171"/>
      <c r="I14" s="167"/>
    </row>
    <row r="15" spans="1:10" x14ac:dyDescent="0.2">
      <c r="A15" s="163"/>
      <c r="B15" s="179"/>
      <c r="C15" s="165" t="s">
        <v>643</v>
      </c>
      <c r="D15" s="171"/>
      <c r="E15" s="171"/>
      <c r="F15" s="171"/>
      <c r="G15" s="171"/>
      <c r="H15" s="170">
        <f>'F - Firefighters (rep)'!H3*110%</f>
        <v>8882.61</v>
      </c>
      <c r="I15" s="167" t="s">
        <v>10</v>
      </c>
      <c r="J15" s="160" t="s">
        <v>645</v>
      </c>
    </row>
    <row r="16" spans="1:10" x14ac:dyDescent="0.2">
      <c r="A16" s="163"/>
      <c r="B16" s="163"/>
      <c r="C16" s="167"/>
      <c r="D16" s="171"/>
      <c r="E16" s="171"/>
      <c r="F16" s="171"/>
      <c r="G16" s="171"/>
      <c r="H16" s="170">
        <f>12*H15</f>
        <v>106591.32</v>
      </c>
      <c r="I16" s="167" t="s">
        <v>520</v>
      </c>
    </row>
    <row r="17" spans="1:10" x14ac:dyDescent="0.2">
      <c r="A17" s="163"/>
      <c r="B17" s="163"/>
      <c r="C17" s="167"/>
      <c r="D17" s="171"/>
      <c r="E17" s="171"/>
      <c r="F17" s="171"/>
      <c r="G17" s="171"/>
      <c r="H17" s="166">
        <f>H16/2080</f>
        <v>51.245826923076926</v>
      </c>
      <c r="I17" s="167" t="s">
        <v>11</v>
      </c>
    </row>
    <row r="18" spans="1:10" x14ac:dyDescent="0.2">
      <c r="A18" s="163"/>
      <c r="B18" s="163"/>
      <c r="C18" s="167"/>
      <c r="D18" s="171"/>
      <c r="E18" s="171"/>
      <c r="F18" s="171"/>
      <c r="G18" s="545"/>
      <c r="H18" s="170"/>
      <c r="I18" s="167"/>
    </row>
    <row r="19" spans="1:10" x14ac:dyDescent="0.2">
      <c r="A19" s="163"/>
      <c r="B19" s="179"/>
      <c r="C19" s="165" t="s">
        <v>644</v>
      </c>
      <c r="D19" s="171"/>
      <c r="E19" s="171"/>
      <c r="F19" s="171"/>
      <c r="G19" s="170"/>
      <c r="H19" s="170">
        <f>'F - Firefighters (rep)'!H3*115.5%</f>
        <v>9326.7404999999999</v>
      </c>
      <c r="I19" s="167" t="s">
        <v>10</v>
      </c>
      <c r="J19" s="160" t="s">
        <v>646</v>
      </c>
    </row>
    <row r="20" spans="1:10" x14ac:dyDescent="0.2">
      <c r="A20" s="163"/>
      <c r="B20" s="163"/>
      <c r="C20" s="167"/>
      <c r="D20" s="171"/>
      <c r="E20" s="171"/>
      <c r="F20" s="171"/>
      <c r="G20" s="171"/>
      <c r="H20" s="170">
        <f>12*H19</f>
        <v>111920.886</v>
      </c>
      <c r="I20" s="167" t="s">
        <v>520</v>
      </c>
    </row>
    <row r="21" spans="1:10" x14ac:dyDescent="0.2">
      <c r="A21" s="163"/>
      <c r="B21" s="163"/>
      <c r="C21" s="167"/>
      <c r="D21" s="171"/>
      <c r="E21" s="171"/>
      <c r="F21" s="171"/>
      <c r="G21" s="171"/>
      <c r="H21" s="166">
        <f>H20/2080</f>
        <v>53.808118269230768</v>
      </c>
      <c r="I21" s="167" t="s">
        <v>11</v>
      </c>
    </row>
    <row r="22" spans="1:10" ht="15.75" x14ac:dyDescent="0.25">
      <c r="A22" s="163"/>
      <c r="B22" s="163"/>
      <c r="C22" s="287"/>
      <c r="D22" s="171"/>
      <c r="E22" s="171"/>
      <c r="F22" s="171"/>
      <c r="G22" s="171"/>
      <c r="H22" s="170"/>
      <c r="I22" s="167"/>
    </row>
    <row r="23" spans="1:10" x14ac:dyDescent="0.2">
      <c r="A23" s="741"/>
      <c r="B23" s="741"/>
      <c r="C23" s="741"/>
      <c r="D23" s="741"/>
      <c r="E23" s="741"/>
      <c r="F23" s="741"/>
      <c r="G23" s="741"/>
      <c r="H23" s="741"/>
      <c r="I23" s="741"/>
    </row>
    <row r="24" spans="1:10" x14ac:dyDescent="0.2">
      <c r="B24" s="740"/>
      <c r="C24" s="740"/>
    </row>
    <row r="61" spans="9:9" x14ac:dyDescent="0.2">
      <c r="I61" s="437"/>
    </row>
    <row r="77" spans="9:9" x14ac:dyDescent="0.2">
      <c r="I77" s="437"/>
    </row>
    <row r="216" spans="9:9" x14ac:dyDescent="0.2">
      <c r="I216" s="437"/>
    </row>
  </sheetData>
  <customSheetViews>
    <customSheetView guid="{03674138-A9FA-46A6-AB09-A74C70852C0D}" showPageBreaks="1" printArea="1" view="pageLayout">
      <selection activeCell="D9" sqref="D9"/>
      <pageMargins left="0.25" right="0.25" top="2" bottom="1" header="0.5" footer="0.5"/>
      <printOptions horizontalCentered="1" gridLines="1"/>
      <pageSetup scale="94" orientation="portrait" r:id="rId1"/>
      <headerFooter alignWithMargins="0">
        <oddHeader>&amp;L&amp;"Times New Roman,Regular"Ordinance #  (budget adoption)
Resolution #8610 (contract adoption)&amp;C&amp;"Times New Roman,Bold"&amp;16
ATTACHMENT I
2015 CITY OF BELLEVUE PAY PLANS
INTERNATIONAL ASSOC OF FIREFIGHTERS UNION, LOCAL #1604
ADMINISTRATIVE PERSONNEL</oddHeader>
        <oddFooter>&amp;C&amp;"Times New Roman,Bold"&amp;16&amp;A</oddFooter>
      </headerFooter>
    </customSheetView>
    <customSheetView guid="{6140C585-A678-4296-91B8-0C17DF653D09}" showPageBreaks="1" printArea="1" view="pageLayout">
      <selection sqref="A1:A2"/>
      <pageMargins left="0.25" right="0.25" top="2" bottom="1" header="0.5" footer="0.5"/>
      <printOptions horizontalCentered="1" gridLines="1"/>
      <pageSetup scale="94" orientation="portrait" r:id="rId2"/>
      <headerFooter alignWithMargins="0">
        <oddHeader>&amp;LOrdinance #  (budget adoption)
Resolution #8610 (contract adoption)&amp;C&amp;"Arial,Bold"&amp;16
2015 CITY OF BELLEVUE PAY PLANS
&amp;14INTERNATIONAL ASSOCIATION OF FIREFIGHTERS UNION, LOCAL #1604
ADMINISTRATIVE PERSONNEL</oddHeader>
        <oddFooter xml:space="preserve">&amp;C&amp;"Arial,Bold"&amp;16&amp;A&amp;REffective 01/01/15,
System Update 01/xx/15 </oddFooter>
      </headerFooter>
    </customSheetView>
    <customSheetView guid="{49073133-97C6-4E81-BEFE-D9E658C173F7}" showPageBreaks="1" printArea="1" view="pageLayout">
      <selection sqref="A1:A2"/>
      <pageMargins left="0.25" right="0.25" top="2" bottom="1" header="0.5" footer="0.5"/>
      <printOptions horizontalCentered="1" gridLines="1"/>
      <pageSetup scale="94" orientation="portrait" r:id="rId3"/>
      <headerFooter alignWithMargins="0">
        <oddHeader>&amp;LOrdinance #  (budget adoption)
Resolution #8610 (contract adoption)&amp;C&amp;"Arial,Bold"&amp;16
2015 CITY OF BELLEVUE PAY PLANS
&amp;14INTERNATIONAL ASSOCIATION OF FIREFIGHTERS UNION, LOCAL #1604
ADMINISTRATIVE PERSONNEL</oddHeader>
        <oddFooter xml:space="preserve">&amp;C&amp;"Arial,Bold"&amp;16&amp;A&amp;REffective 01/01/15,
System Update 01/xx/15 </oddFooter>
      </headerFooter>
    </customSheetView>
  </customSheetViews>
  <mergeCells count="6">
    <mergeCell ref="B24:C24"/>
    <mergeCell ref="A1:A2"/>
    <mergeCell ref="B1:B2"/>
    <mergeCell ref="C1:C2"/>
    <mergeCell ref="D1:H1"/>
    <mergeCell ref="A23:I23"/>
  </mergeCells>
  <phoneticPr fontId="7" type="noConversion"/>
  <printOptions horizontalCentered="1" gridLines="1"/>
  <pageMargins left="0.25" right="0.25" top="2" bottom="1" header="0.5" footer="0.5"/>
  <pageSetup scale="94" orientation="portrait" r:id="rId4"/>
  <headerFooter alignWithMargins="0">
    <oddHeader xml:space="preserve">&amp;LOrdinance # (pay plan adoption)
Resolution 9403 (contract adoption)&amp;C&amp;"Times New Roman,Bold"&amp;14
2019 CITY OF BELLEVUE PAY PLANS
INTERNATIONAL ASSOCIATION OF FIREFIGHTERS UNION, LOCAL #1604
ADMINISTRATIVE PERSONNEL
</oddHeader>
    <oddFooter xml:space="preserve">&amp;C&amp;"Times New Roman,Bold"&amp;16&amp;A&amp;R&amp;"Times New Roman,Regular"Effective 01/01/19,
System Update  01/xx/19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EF0A3-473C-49D1-9580-150CADFADEF4}">
  <sheetPr>
    <tabColor rgb="FF92D050"/>
    <pageSetUpPr fitToPage="1"/>
  </sheetPr>
  <dimension ref="A1:P216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5" style="561" customWidth="1"/>
    <col min="2" max="2" width="8.28515625" style="561" customWidth="1"/>
    <col min="3" max="3" width="25.7109375" style="209" customWidth="1"/>
    <col min="4" max="5" width="10.7109375" style="280" customWidth="1"/>
    <col min="6" max="6" width="11.7109375" style="280" bestFit="1" customWidth="1"/>
    <col min="7" max="7" width="12.28515625" style="280" customWidth="1"/>
    <col min="8" max="8" width="10.7109375" style="209" bestFit="1" customWidth="1"/>
    <col min="9" max="10" width="9.140625" style="209"/>
    <col min="11" max="11" width="17" style="209" bestFit="1" customWidth="1"/>
    <col min="12" max="16384" width="9.140625" style="209"/>
  </cols>
  <sheetData>
    <row r="1" spans="1:16" s="193" customFormat="1" x14ac:dyDescent="0.2">
      <c r="A1" s="665" t="s">
        <v>550</v>
      </c>
      <c r="B1" s="679" t="s">
        <v>0</v>
      </c>
      <c r="C1" s="679" t="s">
        <v>1</v>
      </c>
      <c r="D1" s="681"/>
      <c r="E1" s="681"/>
      <c r="F1" s="681"/>
      <c r="G1" s="681"/>
      <c r="H1" s="562">
        <v>2019</v>
      </c>
      <c r="K1" s="263">
        <v>2019</v>
      </c>
      <c r="L1" s="662" t="s">
        <v>2</v>
      </c>
      <c r="M1" s="662"/>
      <c r="N1" s="662"/>
      <c r="O1" s="662"/>
      <c r="P1" s="662"/>
    </row>
    <row r="2" spans="1:16" s="560" customFormat="1" x14ac:dyDescent="0.2">
      <c r="A2" s="666"/>
      <c r="B2" s="666"/>
      <c r="C2" s="680"/>
      <c r="D2" s="264">
        <v>1</v>
      </c>
      <c r="E2" s="264">
        <v>2</v>
      </c>
      <c r="F2" s="264">
        <v>3</v>
      </c>
      <c r="G2" s="264">
        <v>4</v>
      </c>
      <c r="H2" s="562"/>
      <c r="K2" s="386">
        <v>1.04</v>
      </c>
      <c r="L2" s="197" t="s">
        <v>450</v>
      </c>
      <c r="M2" s="197" t="s">
        <v>451</v>
      </c>
      <c r="N2" s="197" t="s">
        <v>452</v>
      </c>
      <c r="O2" s="197" t="s">
        <v>453</v>
      </c>
      <c r="P2" s="197">
        <v>5</v>
      </c>
    </row>
    <row r="3" spans="1:16" x14ac:dyDescent="0.2">
      <c r="A3" s="273" t="s">
        <v>89</v>
      </c>
      <c r="B3" s="273" t="s">
        <v>361</v>
      </c>
      <c r="C3" s="270" t="s">
        <v>36</v>
      </c>
      <c r="D3" s="294">
        <f>ROUND(5999.03*$K$2,2)</f>
        <v>6238.99</v>
      </c>
      <c r="E3" s="294">
        <f>ROUND(6737.06*$K$2,2)</f>
        <v>7006.54</v>
      </c>
      <c r="F3" s="294">
        <f>ROUND(7210.01*$K$2,2)</f>
        <v>7498.41</v>
      </c>
      <c r="G3" s="294">
        <f>ROUND(7682.97*$K$2,2)</f>
        <v>7990.29</v>
      </c>
      <c r="H3" s="270" t="s">
        <v>10</v>
      </c>
      <c r="K3" s="203" t="s">
        <v>455</v>
      </c>
      <c r="L3" s="204" t="e">
        <f>(D3-#REF!)/#REF!</f>
        <v>#REF!</v>
      </c>
      <c r="M3" s="204">
        <f>(E3-D3)/D3</f>
        <v>0.12302472034736395</v>
      </c>
      <c r="N3" s="204">
        <f>(F3-E3)/E3</f>
        <v>7.0201554547608361E-2</v>
      </c>
      <c r="O3" s="204">
        <f>(G3-F3)/F3</f>
        <v>6.5597906756232338E-2</v>
      </c>
      <c r="P3" s="204"/>
    </row>
    <row r="4" spans="1:16" x14ac:dyDescent="0.2">
      <c r="A4" s="559"/>
      <c r="B4" s="559"/>
      <c r="C4" s="270"/>
      <c r="D4" s="208">
        <f>D3*12</f>
        <v>74867.88</v>
      </c>
      <c r="E4" s="208">
        <f>E3*12</f>
        <v>84078.48</v>
      </c>
      <c r="F4" s="208">
        <f>F3*12</f>
        <v>89980.92</v>
      </c>
      <c r="G4" s="208">
        <f>G3*12</f>
        <v>95883.48</v>
      </c>
      <c r="H4" s="270" t="s">
        <v>520</v>
      </c>
      <c r="K4" s="203" t="s">
        <v>456</v>
      </c>
      <c r="L4" s="204">
        <f>(G3-F3)/F3</f>
        <v>6.5597906756232338E-2</v>
      </c>
    </row>
    <row r="5" spans="1:16" x14ac:dyDescent="0.2">
      <c r="A5" s="559"/>
      <c r="B5" s="559"/>
      <c r="C5" s="270"/>
      <c r="D5" s="208">
        <f>D4/2080</f>
        <v>35.994173076923076</v>
      </c>
      <c r="E5" s="208">
        <f>E4/2080</f>
        <v>40.422346153846149</v>
      </c>
      <c r="F5" s="208">
        <f>F4/2080</f>
        <v>43.26005769230769</v>
      </c>
      <c r="G5" s="208">
        <f>G4/2080</f>
        <v>46.097826923076923</v>
      </c>
      <c r="H5" s="270" t="s">
        <v>11</v>
      </c>
      <c r="K5" s="203" t="s">
        <v>457</v>
      </c>
      <c r="L5" s="204"/>
      <c r="M5" s="204"/>
      <c r="N5" s="204"/>
      <c r="O5" s="204"/>
      <c r="P5" s="204">
        <f>(G7-G3)/G3</f>
        <v>7.98243868495387E-2</v>
      </c>
    </row>
    <row r="6" spans="1:16" ht="35.1" customHeight="1" x14ac:dyDescent="0.2">
      <c r="A6" s="559"/>
      <c r="B6" s="559"/>
      <c r="C6" s="387"/>
      <c r="D6" s="208"/>
      <c r="E6" s="208"/>
      <c r="F6" s="208"/>
      <c r="G6" s="208"/>
      <c r="H6" s="270"/>
      <c r="K6" s="203"/>
      <c r="L6" s="204"/>
      <c r="M6" s="204"/>
      <c r="N6" s="204"/>
      <c r="O6" s="204"/>
      <c r="P6" s="204"/>
    </row>
    <row r="7" spans="1:16" x14ac:dyDescent="0.2">
      <c r="A7" s="273" t="s">
        <v>571</v>
      </c>
      <c r="B7" s="273" t="s">
        <v>570</v>
      </c>
      <c r="C7" s="269" t="s">
        <v>569</v>
      </c>
      <c r="D7" s="294"/>
      <c r="E7" s="294"/>
      <c r="F7" s="294"/>
      <c r="G7" s="294">
        <f>ROUND(8296.26*$K$2,2)</f>
        <v>8628.11</v>
      </c>
      <c r="H7" s="270" t="s">
        <v>10</v>
      </c>
      <c r="K7" s="203" t="s">
        <v>455</v>
      </c>
      <c r="L7" s="204"/>
      <c r="M7" s="204"/>
      <c r="N7" s="204"/>
      <c r="O7" s="204"/>
      <c r="P7" s="204"/>
    </row>
    <row r="8" spans="1:16" x14ac:dyDescent="0.2">
      <c r="A8" s="559"/>
      <c r="B8" s="559"/>
      <c r="C8" s="270"/>
      <c r="D8" s="208"/>
      <c r="E8" s="295"/>
      <c r="F8" s="208"/>
      <c r="G8" s="208">
        <f>G7*12</f>
        <v>103537.32</v>
      </c>
      <c r="H8" s="270" t="s">
        <v>520</v>
      </c>
      <c r="K8" s="203" t="s">
        <v>456</v>
      </c>
      <c r="L8" s="204"/>
    </row>
    <row r="9" spans="1:16" x14ac:dyDescent="0.2">
      <c r="A9" s="559"/>
      <c r="B9" s="559"/>
      <c r="C9" s="270"/>
      <c r="D9" s="208"/>
      <c r="E9" s="208"/>
      <c r="F9" s="208"/>
      <c r="G9" s="208">
        <f>G8/2080</f>
        <v>49.777557692307695</v>
      </c>
      <c r="H9" s="270" t="s">
        <v>11</v>
      </c>
      <c r="K9" s="203" t="s">
        <v>457</v>
      </c>
      <c r="L9" s="204"/>
      <c r="M9" s="204"/>
      <c r="N9" s="204"/>
      <c r="O9" s="204"/>
      <c r="P9" s="204">
        <f>(G11-G7)/G7</f>
        <v>0.10766900282912474</v>
      </c>
    </row>
    <row r="10" spans="1:16" ht="35.1" customHeight="1" x14ac:dyDescent="0.2">
      <c r="A10" s="559"/>
      <c r="B10" s="559"/>
      <c r="C10" s="270"/>
      <c r="D10" s="208"/>
      <c r="E10" s="208"/>
      <c r="F10" s="208"/>
      <c r="G10" s="208"/>
      <c r="H10" s="270"/>
    </row>
    <row r="11" spans="1:16" x14ac:dyDescent="0.2">
      <c r="A11" s="273" t="s">
        <v>90</v>
      </c>
      <c r="B11" s="273" t="s">
        <v>362</v>
      </c>
      <c r="C11" s="270" t="s">
        <v>1018</v>
      </c>
      <c r="D11" s="208"/>
      <c r="E11" s="295"/>
      <c r="F11" s="294">
        <f>ROUND(8786.66*$K$2,2)</f>
        <v>9138.1299999999992</v>
      </c>
      <c r="G11" s="294">
        <f>ROUND(9189.51*$K$2,2)</f>
        <v>9557.09</v>
      </c>
      <c r="H11" s="270" t="s">
        <v>10</v>
      </c>
      <c r="K11" s="203" t="s">
        <v>455</v>
      </c>
      <c r="L11" s="204"/>
      <c r="M11" s="204"/>
      <c r="N11" s="204"/>
      <c r="O11" s="204">
        <f>(G11-F11)/F11</f>
        <v>4.5847454566744071E-2</v>
      </c>
      <c r="P11" s="204"/>
    </row>
    <row r="12" spans="1:16" x14ac:dyDescent="0.2">
      <c r="A12" s="559"/>
      <c r="B12" s="273"/>
      <c r="C12" s="270"/>
      <c r="D12" s="208"/>
      <c r="E12" s="208"/>
      <c r="F12" s="208">
        <f>F11*12</f>
        <v>109657.56</v>
      </c>
      <c r="G12" s="208">
        <f>G11*12</f>
        <v>114685.08</v>
      </c>
      <c r="H12" s="270" t="s">
        <v>520</v>
      </c>
      <c r="K12" s="203" t="s">
        <v>456</v>
      </c>
      <c r="L12" s="204">
        <f>(G11-F11)/F11</f>
        <v>4.5847454566744071E-2</v>
      </c>
    </row>
    <row r="13" spans="1:16" ht="15.6" customHeight="1" x14ac:dyDescent="0.2">
      <c r="A13" s="559"/>
      <c r="B13" s="273"/>
      <c r="D13" s="208"/>
      <c r="E13" s="208"/>
      <c r="F13" s="208">
        <f>F12/2080</f>
        <v>52.719980769230766</v>
      </c>
      <c r="G13" s="208">
        <f>G12/2080</f>
        <v>55.137057692307692</v>
      </c>
      <c r="H13" s="270" t="s">
        <v>11</v>
      </c>
    </row>
    <row r="14" spans="1:16" ht="35.1" customHeight="1" x14ac:dyDescent="0.2">
      <c r="A14" s="385"/>
      <c r="B14" s="559"/>
      <c r="D14" s="336"/>
      <c r="E14" s="336"/>
      <c r="F14" s="336"/>
      <c r="G14" s="336"/>
      <c r="H14" s="270"/>
    </row>
    <row r="15" spans="1:16" x14ac:dyDescent="0.2">
      <c r="F15" s="204"/>
    </row>
    <row r="17" spans="1:8" x14ac:dyDescent="0.2">
      <c r="A17" s="742"/>
      <c r="B17" s="742"/>
      <c r="C17" s="742"/>
      <c r="D17" s="742"/>
      <c r="E17" s="742"/>
      <c r="F17" s="742"/>
      <c r="G17" s="742"/>
      <c r="H17" s="742"/>
    </row>
    <row r="19" spans="1:8" x14ac:dyDescent="0.2">
      <c r="A19" s="743"/>
      <c r="B19" s="743"/>
      <c r="C19" s="743"/>
    </row>
    <row r="20" spans="1:8" x14ac:dyDescent="0.2">
      <c r="A20" s="743"/>
      <c r="B20" s="743"/>
      <c r="C20" s="743"/>
    </row>
    <row r="21" spans="1:8" x14ac:dyDescent="0.2">
      <c r="A21" s="743"/>
      <c r="B21" s="743"/>
      <c r="C21" s="743"/>
    </row>
    <row r="24" spans="1:8" ht="12.95" customHeight="1" x14ac:dyDescent="0.2"/>
    <row r="25" spans="1:8" ht="12.95" customHeight="1" x14ac:dyDescent="0.2"/>
    <row r="61" spans="8:8" x14ac:dyDescent="0.2">
      <c r="H61" s="314"/>
    </row>
    <row r="77" spans="8:8" x14ac:dyDescent="0.2">
      <c r="H77" s="314"/>
    </row>
    <row r="216" spans="8:8" x14ac:dyDescent="0.2">
      <c r="H216" s="314"/>
    </row>
  </sheetData>
  <mergeCells count="7">
    <mergeCell ref="L1:P1"/>
    <mergeCell ref="A17:H17"/>
    <mergeCell ref="A19:C21"/>
    <mergeCell ref="A1:A2"/>
    <mergeCell ref="B1:B2"/>
    <mergeCell ref="C1:C2"/>
    <mergeCell ref="D1:G1"/>
  </mergeCells>
  <printOptions horizontalCentered="1" gridLines="1"/>
  <pageMargins left="0.25" right="0.25" top="2" bottom="1" header="0.5" footer="0.5"/>
  <pageSetup orientation="portrait" r:id="rId1"/>
  <headerFooter alignWithMargins="0">
    <oddHeader>&amp;LOrdinance #  (budget adoption)
Resolution # 9512 (contract adoption)&amp;C&amp;"Times New Roman,Bold"&amp;14
&amp;K000000
2019 CITY OF BELLEVUE PAY PLANS
BELLEVUE POLICE OFFICERS GUILD
OFFICERS, CORPORALS AND SERGEANTS</oddHeader>
    <oddFooter>&amp;C&amp;"Times New Roman,Bold"&amp;16&amp;A&amp;R&amp;"Times New Roman,Regular"Effective 01/01/19
System Update 01/xx/19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DEEDF-F374-485F-8F2C-9954CDDFE0A9}">
  <sheetPr>
    <tabColor rgb="FF92D050"/>
  </sheetPr>
  <dimension ref="A1:N63"/>
  <sheetViews>
    <sheetView showWhiteSpace="0" view="pageLayout" zoomScale="110" zoomScaleNormal="100" zoomScalePageLayoutView="110" workbookViewId="0">
      <selection activeCell="A2" sqref="A2:A4"/>
    </sheetView>
  </sheetViews>
  <sheetFormatPr defaultColWidth="11.42578125" defaultRowHeight="12.75" x14ac:dyDescent="0.2"/>
  <cols>
    <col min="1" max="1" width="8.140625" style="461" bestFit="1" customWidth="1"/>
    <col min="2" max="2" width="11.28515625" style="462" bestFit="1" customWidth="1"/>
    <col min="3" max="3" width="29.5703125" style="462" bestFit="1" customWidth="1"/>
    <col min="4" max="4" width="9.42578125" style="463" customWidth="1"/>
    <col min="5" max="5" width="14.42578125" style="643" customWidth="1"/>
    <col min="6" max="6" width="11.5703125" style="462" customWidth="1"/>
    <col min="7" max="8" width="10.7109375" style="462" customWidth="1"/>
    <col min="9" max="16384" width="11.42578125" style="462"/>
  </cols>
  <sheetData>
    <row r="1" spans="1:12" s="563" customFormat="1" ht="22.5" customHeight="1" x14ac:dyDescent="0.2">
      <c r="A1" s="750" t="s">
        <v>1126</v>
      </c>
      <c r="B1" s="773"/>
      <c r="C1" s="773"/>
      <c r="D1" s="773"/>
      <c r="E1" s="774"/>
      <c r="F1" s="775" t="s">
        <v>1163</v>
      </c>
      <c r="G1" s="776"/>
      <c r="H1" s="776"/>
    </row>
    <row r="2" spans="1:12" s="565" customFormat="1" ht="36" customHeight="1" x14ac:dyDescent="0.2">
      <c r="A2" s="781" t="s">
        <v>464</v>
      </c>
      <c r="B2" s="748" t="s">
        <v>465</v>
      </c>
      <c r="C2" s="748" t="s">
        <v>1127</v>
      </c>
      <c r="D2" s="748" t="s">
        <v>467</v>
      </c>
      <c r="E2" s="564" t="s">
        <v>1128</v>
      </c>
      <c r="F2" s="777"/>
      <c r="G2" s="778"/>
      <c r="H2" s="778"/>
    </row>
    <row r="3" spans="1:12" s="565" customFormat="1" ht="12.75" customHeight="1" x14ac:dyDescent="0.2">
      <c r="A3" s="781"/>
      <c r="B3" s="748"/>
      <c r="C3" s="748"/>
      <c r="D3" s="748"/>
      <c r="E3" s="564" t="s">
        <v>1129</v>
      </c>
      <c r="F3" s="777"/>
      <c r="G3" s="778"/>
      <c r="H3" s="778"/>
    </row>
    <row r="4" spans="1:12" s="567" customFormat="1" ht="15.75" customHeight="1" x14ac:dyDescent="0.2">
      <c r="A4" s="781"/>
      <c r="B4" s="748"/>
      <c r="C4" s="748"/>
      <c r="D4" s="748"/>
      <c r="E4" s="566">
        <f>'P-Police (rep)'!G3</f>
        <v>7990.29</v>
      </c>
      <c r="F4" s="777"/>
      <c r="G4" s="778"/>
      <c r="H4" s="778"/>
    </row>
    <row r="5" spans="1:12" s="563" customFormat="1" ht="36" customHeight="1" x14ac:dyDescent="0.2">
      <c r="A5" s="568">
        <v>1015</v>
      </c>
      <c r="B5" s="569" t="s">
        <v>763</v>
      </c>
      <c r="C5" s="570" t="s">
        <v>1130</v>
      </c>
      <c r="D5" s="571">
        <v>0.04</v>
      </c>
      <c r="E5" s="572">
        <f>$E$4*D5</f>
        <v>319.61160000000001</v>
      </c>
      <c r="F5" s="777"/>
      <c r="G5" s="778"/>
      <c r="H5" s="778"/>
    </row>
    <row r="6" spans="1:12" s="563" customFormat="1" ht="21" customHeight="1" thickBot="1" x14ac:dyDescent="0.25">
      <c r="A6" s="573">
        <v>1017</v>
      </c>
      <c r="B6" s="574" t="s">
        <v>763</v>
      </c>
      <c r="C6" s="575" t="s">
        <v>1131</v>
      </c>
      <c r="D6" s="576">
        <v>0.05</v>
      </c>
      <c r="E6" s="577">
        <f>$E$4*D6</f>
        <v>399.5145</v>
      </c>
      <c r="F6" s="779"/>
      <c r="G6" s="780"/>
      <c r="H6" s="780"/>
    </row>
    <row r="7" spans="1:12" s="563" customFormat="1" ht="7.5" customHeight="1" thickBot="1" x14ac:dyDescent="0.25">
      <c r="A7" s="578"/>
      <c r="B7" s="579"/>
      <c r="C7" s="579"/>
      <c r="D7" s="580"/>
      <c r="E7" s="581"/>
      <c r="F7" s="581"/>
      <c r="G7" s="581"/>
      <c r="H7" s="581"/>
    </row>
    <row r="8" spans="1:12" s="563" customFormat="1" ht="22.5" customHeight="1" x14ac:dyDescent="0.2">
      <c r="A8" s="764" t="s">
        <v>1132</v>
      </c>
      <c r="B8" s="765"/>
      <c r="C8" s="765"/>
      <c r="D8" s="765"/>
      <c r="E8" s="765"/>
      <c r="F8" s="765"/>
      <c r="G8" s="765"/>
      <c r="H8" s="765"/>
    </row>
    <row r="9" spans="1:12" s="484" customFormat="1" ht="18.75" customHeight="1" x14ac:dyDescent="0.2">
      <c r="A9" s="649" t="s">
        <v>763</v>
      </c>
      <c r="B9" s="650" t="s">
        <v>763</v>
      </c>
      <c r="C9" s="766" t="s">
        <v>1133</v>
      </c>
      <c r="D9" s="766"/>
      <c r="E9" s="766"/>
      <c r="F9" s="582" t="s">
        <v>1134</v>
      </c>
      <c r="G9" s="582"/>
      <c r="H9" s="582"/>
    </row>
    <row r="10" spans="1:12" s="484" customFormat="1" ht="18.75" customHeight="1" x14ac:dyDescent="0.2">
      <c r="A10" s="649" t="s">
        <v>763</v>
      </c>
      <c r="B10" s="650" t="s">
        <v>763</v>
      </c>
      <c r="C10" s="766" t="s">
        <v>1135</v>
      </c>
      <c r="D10" s="766"/>
      <c r="E10" s="766"/>
      <c r="F10" s="582" t="s">
        <v>1134</v>
      </c>
      <c r="G10" s="582"/>
      <c r="H10" s="582"/>
    </row>
    <row r="11" spans="1:12" ht="7.5" customHeight="1" x14ac:dyDescent="0.2">
      <c r="A11" s="583"/>
      <c r="B11" s="584"/>
      <c r="C11" s="584"/>
      <c r="D11" s="585"/>
      <c r="E11" s="586"/>
      <c r="F11" s="587"/>
      <c r="G11" s="587"/>
      <c r="H11" s="587"/>
    </row>
    <row r="12" spans="1:12" s="484" customFormat="1" ht="32.25" customHeight="1" x14ac:dyDescent="0.2">
      <c r="A12" s="767" t="s">
        <v>464</v>
      </c>
      <c r="B12" s="769" t="s">
        <v>465</v>
      </c>
      <c r="C12" s="771" t="s">
        <v>1136</v>
      </c>
      <c r="D12" s="772" t="s">
        <v>1137</v>
      </c>
      <c r="E12" s="588" t="s">
        <v>1128</v>
      </c>
      <c r="F12" s="589"/>
      <c r="G12" s="589"/>
      <c r="H12" s="589"/>
      <c r="I12" s="84"/>
      <c r="J12" s="84"/>
      <c r="K12" s="84"/>
      <c r="L12" s="84"/>
    </row>
    <row r="13" spans="1:12" s="484" customFormat="1" ht="14.25" customHeight="1" x14ac:dyDescent="0.2">
      <c r="A13" s="767"/>
      <c r="B13" s="769"/>
      <c r="C13" s="771"/>
      <c r="D13" s="772"/>
      <c r="E13" s="588" t="s">
        <v>1129</v>
      </c>
      <c r="F13" s="589"/>
      <c r="G13" s="589"/>
      <c r="H13" s="589"/>
      <c r="I13" s="590"/>
      <c r="J13" s="590"/>
      <c r="K13" s="590"/>
      <c r="L13" s="590"/>
    </row>
    <row r="14" spans="1:12" s="484" customFormat="1" ht="12.75" customHeight="1" x14ac:dyDescent="0.2">
      <c r="A14" s="768"/>
      <c r="B14" s="770"/>
      <c r="C14" s="771"/>
      <c r="D14" s="772"/>
      <c r="E14" s="591">
        <f>'P-Police (rep)'!G3</f>
        <v>7990.29</v>
      </c>
      <c r="F14" s="589"/>
      <c r="G14" s="589"/>
      <c r="H14" s="589"/>
      <c r="I14" s="592"/>
      <c r="J14" s="592"/>
      <c r="K14" s="592"/>
      <c r="L14" s="592"/>
    </row>
    <row r="15" spans="1:12" s="484" customFormat="1" ht="12.75" customHeight="1" x14ac:dyDescent="0.2">
      <c r="A15" s="593">
        <v>1019</v>
      </c>
      <c r="B15" s="594" t="s">
        <v>763</v>
      </c>
      <c r="C15" s="595" t="s">
        <v>1138</v>
      </c>
      <c r="D15" s="596">
        <v>0.03</v>
      </c>
      <c r="E15" s="597">
        <f>$E$14*D15</f>
        <v>239.70869999999999</v>
      </c>
      <c r="F15" s="589"/>
      <c r="G15" s="589"/>
      <c r="H15" s="589"/>
    </row>
    <row r="16" spans="1:12" s="484" customFormat="1" ht="12.75" customHeight="1" x14ac:dyDescent="0.2">
      <c r="A16" s="593">
        <v>1021</v>
      </c>
      <c r="B16" s="594" t="s">
        <v>763</v>
      </c>
      <c r="C16" s="595" t="s">
        <v>1139</v>
      </c>
      <c r="D16" s="596">
        <v>0.05</v>
      </c>
      <c r="E16" s="597">
        <f t="shared" ref="E16:E20" si="0">$E$14*D16</f>
        <v>399.5145</v>
      </c>
      <c r="F16" s="589"/>
      <c r="G16" s="589"/>
      <c r="H16" s="589"/>
      <c r="I16" s="484" t="s">
        <v>1090</v>
      </c>
    </row>
    <row r="17" spans="1:14" ht="12.75" customHeight="1" x14ac:dyDescent="0.2">
      <c r="A17" s="593">
        <v>1023</v>
      </c>
      <c r="B17" s="594" t="s">
        <v>763</v>
      </c>
      <c r="C17" s="598" t="s">
        <v>1140</v>
      </c>
      <c r="D17" s="596">
        <v>7.0000000000000007E-2</v>
      </c>
      <c r="E17" s="597">
        <f t="shared" si="0"/>
        <v>559.32030000000009</v>
      </c>
      <c r="F17" s="589"/>
      <c r="G17" s="589"/>
      <c r="H17" s="589"/>
    </row>
    <row r="18" spans="1:14" ht="12.75" customHeight="1" x14ac:dyDescent="0.2">
      <c r="A18" s="593">
        <v>1025</v>
      </c>
      <c r="B18" s="594" t="s">
        <v>763</v>
      </c>
      <c r="C18" s="599" t="s">
        <v>1141</v>
      </c>
      <c r="D18" s="600">
        <v>0.09</v>
      </c>
      <c r="E18" s="597">
        <f t="shared" si="0"/>
        <v>719.12609999999995</v>
      </c>
      <c r="F18" s="589"/>
      <c r="G18" s="589"/>
      <c r="H18" s="589"/>
    </row>
    <row r="19" spans="1:14" ht="12.75" customHeight="1" x14ac:dyDescent="0.2">
      <c r="A19" s="593">
        <v>1027</v>
      </c>
      <c r="B19" s="594" t="s">
        <v>763</v>
      </c>
      <c r="C19" s="599" t="s">
        <v>1142</v>
      </c>
      <c r="D19" s="600">
        <v>0.11</v>
      </c>
      <c r="E19" s="597">
        <f t="shared" si="0"/>
        <v>878.93190000000004</v>
      </c>
      <c r="F19" s="589"/>
      <c r="G19" s="589"/>
      <c r="H19" s="589"/>
    </row>
    <row r="20" spans="1:14" ht="12.75" customHeight="1" x14ac:dyDescent="0.2">
      <c r="A20" s="593">
        <v>1029</v>
      </c>
      <c r="B20" s="594" t="s">
        <v>763</v>
      </c>
      <c r="C20" s="599" t="s">
        <v>1143</v>
      </c>
      <c r="D20" s="600">
        <v>0.12</v>
      </c>
      <c r="E20" s="597">
        <f t="shared" si="0"/>
        <v>958.83479999999997</v>
      </c>
      <c r="F20" s="589"/>
      <c r="G20" s="589"/>
      <c r="H20" s="589"/>
    </row>
    <row r="21" spans="1:14" ht="13.5" thickBot="1" x14ac:dyDescent="0.25">
      <c r="A21" s="601"/>
      <c r="B21" s="602"/>
      <c r="C21" s="602"/>
      <c r="D21" s="603"/>
      <c r="E21" s="604"/>
      <c r="F21" s="602"/>
      <c r="G21" s="602"/>
      <c r="H21" s="602"/>
    </row>
    <row r="22" spans="1:14" ht="7.5" customHeight="1" thickBot="1" x14ac:dyDescent="0.25">
      <c r="A22" s="605"/>
      <c r="B22" s="606"/>
      <c r="C22" s="606"/>
      <c r="D22" s="607"/>
      <c r="E22" s="608"/>
      <c r="F22" s="609"/>
      <c r="G22" s="609"/>
      <c r="H22" s="609"/>
    </row>
    <row r="23" spans="1:14" s="610" customFormat="1" ht="22.5" customHeight="1" thickBot="1" x14ac:dyDescent="0.25">
      <c r="A23" s="752" t="s">
        <v>1144</v>
      </c>
      <c r="B23" s="753"/>
      <c r="C23" s="753"/>
      <c r="D23" s="753"/>
      <c r="E23" s="753"/>
      <c r="F23" s="753"/>
      <c r="G23" s="753"/>
      <c r="H23" s="753"/>
    </row>
    <row r="24" spans="1:14" ht="17.100000000000001" customHeight="1" thickBot="1" x14ac:dyDescent="0.25">
      <c r="A24" s="730" t="s">
        <v>464</v>
      </c>
      <c r="B24" s="762" t="s">
        <v>465</v>
      </c>
      <c r="C24" s="730" t="s">
        <v>466</v>
      </c>
      <c r="D24" s="735" t="s">
        <v>468</v>
      </c>
      <c r="E24" s="763" t="s">
        <v>493</v>
      </c>
      <c r="F24" s="701"/>
      <c r="G24" s="701"/>
      <c r="H24" s="701"/>
      <c r="I24" s="6"/>
      <c r="J24" s="6"/>
    </row>
    <row r="25" spans="1:14" ht="17.100000000000001" customHeight="1" x14ac:dyDescent="0.2">
      <c r="A25" s="754"/>
      <c r="B25" s="756"/>
      <c r="C25" s="756"/>
      <c r="D25" s="754"/>
      <c r="E25" s="74" t="s">
        <v>469</v>
      </c>
      <c r="F25" s="74" t="s">
        <v>470</v>
      </c>
      <c r="G25" s="74" t="s">
        <v>471</v>
      </c>
      <c r="H25" s="74" t="s">
        <v>472</v>
      </c>
    </row>
    <row r="26" spans="1:14" ht="17.100000000000001" customHeight="1" thickBot="1" x14ac:dyDescent="0.25">
      <c r="A26" s="755"/>
      <c r="B26" s="757"/>
      <c r="C26" s="757"/>
      <c r="D26" s="755"/>
      <c r="E26" s="611">
        <f>'P-Police (rep)'!D3</f>
        <v>6238.99</v>
      </c>
      <c r="F26" s="611">
        <f>'P-Police (rep)'!E3</f>
        <v>7006.54</v>
      </c>
      <c r="G26" s="611">
        <f>'P-Police (rep)'!F3</f>
        <v>7498.41</v>
      </c>
      <c r="H26" s="611">
        <f>'P-Police (rep)'!G3</f>
        <v>7990.29</v>
      </c>
      <c r="J26" s="612"/>
      <c r="K26" s="612"/>
      <c r="L26" s="612"/>
      <c r="M26" s="612"/>
      <c r="N26" s="612"/>
    </row>
    <row r="27" spans="1:14" ht="15" customHeight="1" x14ac:dyDescent="0.2">
      <c r="A27" s="613">
        <v>1041</v>
      </c>
      <c r="B27" s="614" t="s">
        <v>578</v>
      </c>
      <c r="C27" s="487" t="s">
        <v>1145</v>
      </c>
      <c r="D27" s="459">
        <v>0.04</v>
      </c>
      <c r="E27" s="488">
        <f t="shared" ref="E27:E36" si="1">D27*$E$26</f>
        <v>249.55959999999999</v>
      </c>
      <c r="F27" s="488">
        <f t="shared" ref="F27:F36" si="2">D27*$F$26</f>
        <v>280.26159999999999</v>
      </c>
      <c r="G27" s="488">
        <f t="shared" ref="G27:G36" si="3">D27*$G$26</f>
        <v>299.93639999999999</v>
      </c>
      <c r="H27" s="488">
        <f t="shared" ref="H27:H36" si="4">D27*$H$26</f>
        <v>319.61160000000001</v>
      </c>
    </row>
    <row r="28" spans="1:14" ht="15" customHeight="1" x14ac:dyDescent="0.2">
      <c r="A28" s="485">
        <v>1043</v>
      </c>
      <c r="B28" s="614" t="s">
        <v>579</v>
      </c>
      <c r="C28" s="614" t="s">
        <v>1146</v>
      </c>
      <c r="D28" s="459">
        <v>0.04</v>
      </c>
      <c r="E28" s="488">
        <f t="shared" si="1"/>
        <v>249.55959999999999</v>
      </c>
      <c r="F28" s="488">
        <f t="shared" si="2"/>
        <v>280.26159999999999</v>
      </c>
      <c r="G28" s="488">
        <f t="shared" si="3"/>
        <v>299.93639999999999</v>
      </c>
      <c r="H28" s="488">
        <f t="shared" si="4"/>
        <v>319.61160000000001</v>
      </c>
    </row>
    <row r="29" spans="1:14" ht="15" customHeight="1" x14ac:dyDescent="0.2">
      <c r="A29" s="485">
        <v>1046</v>
      </c>
      <c r="B29" s="614" t="s">
        <v>577</v>
      </c>
      <c r="C29" s="615" t="s">
        <v>1147</v>
      </c>
      <c r="D29" s="459">
        <v>0.04</v>
      </c>
      <c r="E29" s="488">
        <f t="shared" si="1"/>
        <v>249.55959999999999</v>
      </c>
      <c r="F29" s="488">
        <f t="shared" si="2"/>
        <v>280.26159999999999</v>
      </c>
      <c r="G29" s="488">
        <f t="shared" si="3"/>
        <v>299.93639999999999</v>
      </c>
      <c r="H29" s="488">
        <f t="shared" si="4"/>
        <v>319.61160000000001</v>
      </c>
    </row>
    <row r="30" spans="1:14" ht="15" customHeight="1" x14ac:dyDescent="0.2">
      <c r="A30" s="485">
        <v>1050</v>
      </c>
      <c r="B30" s="616" t="s">
        <v>992</v>
      </c>
      <c r="C30" s="616" t="s">
        <v>1148</v>
      </c>
      <c r="D30" s="459">
        <v>0.04</v>
      </c>
      <c r="E30" s="488">
        <f t="shared" si="1"/>
        <v>249.55959999999999</v>
      </c>
      <c r="F30" s="488">
        <f t="shared" si="2"/>
        <v>280.26159999999999</v>
      </c>
      <c r="G30" s="488">
        <f t="shared" si="3"/>
        <v>299.93639999999999</v>
      </c>
      <c r="H30" s="488">
        <f t="shared" si="4"/>
        <v>319.61160000000001</v>
      </c>
    </row>
    <row r="31" spans="1:14" ht="15" customHeight="1" x14ac:dyDescent="0.2">
      <c r="A31" s="485">
        <v>1045</v>
      </c>
      <c r="B31" s="614" t="s">
        <v>580</v>
      </c>
      <c r="C31" s="614" t="s">
        <v>581</v>
      </c>
      <c r="D31" s="459">
        <v>0.04</v>
      </c>
      <c r="E31" s="488">
        <f t="shared" si="1"/>
        <v>249.55959999999999</v>
      </c>
      <c r="F31" s="488">
        <f t="shared" si="2"/>
        <v>280.26159999999999</v>
      </c>
      <c r="G31" s="488">
        <f t="shared" si="3"/>
        <v>299.93639999999999</v>
      </c>
      <c r="H31" s="488">
        <f t="shared" si="4"/>
        <v>319.61160000000001</v>
      </c>
    </row>
    <row r="32" spans="1:14" ht="15" customHeight="1" x14ac:dyDescent="0.2">
      <c r="A32" s="485">
        <v>1055</v>
      </c>
      <c r="B32" s="617" t="s">
        <v>587</v>
      </c>
      <c r="C32" s="614" t="s">
        <v>588</v>
      </c>
      <c r="D32" s="459">
        <v>0.04</v>
      </c>
      <c r="E32" s="488">
        <f t="shared" si="1"/>
        <v>249.55959999999999</v>
      </c>
      <c r="F32" s="488">
        <f t="shared" si="2"/>
        <v>280.26159999999999</v>
      </c>
      <c r="G32" s="488">
        <f t="shared" si="3"/>
        <v>299.93639999999999</v>
      </c>
      <c r="H32" s="488">
        <f t="shared" si="4"/>
        <v>319.61160000000001</v>
      </c>
    </row>
    <row r="33" spans="1:8" ht="15" customHeight="1" x14ac:dyDescent="0.2">
      <c r="A33" s="485">
        <v>1047</v>
      </c>
      <c r="B33" s="614" t="s">
        <v>582</v>
      </c>
      <c r="C33" s="614" t="s">
        <v>1149</v>
      </c>
      <c r="D33" s="459">
        <v>0.04</v>
      </c>
      <c r="E33" s="488">
        <f t="shared" si="1"/>
        <v>249.55959999999999</v>
      </c>
      <c r="F33" s="488">
        <f t="shared" si="2"/>
        <v>280.26159999999999</v>
      </c>
      <c r="G33" s="488">
        <f t="shared" si="3"/>
        <v>299.93639999999999</v>
      </c>
      <c r="H33" s="488">
        <f t="shared" si="4"/>
        <v>319.61160000000001</v>
      </c>
    </row>
    <row r="34" spans="1:8" ht="15" customHeight="1" x14ac:dyDescent="0.2">
      <c r="A34" s="497">
        <v>1049</v>
      </c>
      <c r="B34" s="618" t="s">
        <v>583</v>
      </c>
      <c r="C34" s="618" t="s">
        <v>584</v>
      </c>
      <c r="D34" s="502">
        <v>0.04</v>
      </c>
      <c r="E34" s="488">
        <f t="shared" si="1"/>
        <v>249.55959999999999</v>
      </c>
      <c r="F34" s="488">
        <f t="shared" si="2"/>
        <v>280.26159999999999</v>
      </c>
      <c r="G34" s="488">
        <f t="shared" si="3"/>
        <v>299.93639999999999</v>
      </c>
      <c r="H34" s="488">
        <f t="shared" si="4"/>
        <v>319.61160000000001</v>
      </c>
    </row>
    <row r="35" spans="1:8" ht="15" customHeight="1" x14ac:dyDescent="0.2">
      <c r="A35" s="497">
        <v>1053</v>
      </c>
      <c r="B35" s="618" t="s">
        <v>585</v>
      </c>
      <c r="C35" s="618" t="s">
        <v>586</v>
      </c>
      <c r="D35" s="502">
        <v>0.04</v>
      </c>
      <c r="E35" s="505">
        <f t="shared" si="1"/>
        <v>249.55959999999999</v>
      </c>
      <c r="F35" s="505">
        <f t="shared" si="2"/>
        <v>280.26159999999999</v>
      </c>
      <c r="G35" s="505">
        <f t="shared" si="3"/>
        <v>299.93639999999999</v>
      </c>
      <c r="H35" s="505">
        <f t="shared" si="4"/>
        <v>319.61160000000001</v>
      </c>
    </row>
    <row r="36" spans="1:8" ht="15" customHeight="1" thickBot="1" x14ac:dyDescent="0.25">
      <c r="A36" s="523">
        <v>1057</v>
      </c>
      <c r="B36" s="619" t="s">
        <v>993</v>
      </c>
      <c r="C36" s="619" t="s">
        <v>993</v>
      </c>
      <c r="D36" s="460">
        <v>0.04</v>
      </c>
      <c r="E36" s="508">
        <f t="shared" si="1"/>
        <v>249.55959999999999</v>
      </c>
      <c r="F36" s="508">
        <f t="shared" si="2"/>
        <v>280.26159999999999</v>
      </c>
      <c r="G36" s="508">
        <f t="shared" si="3"/>
        <v>299.93639999999999</v>
      </c>
      <c r="H36" s="508">
        <f t="shared" si="4"/>
        <v>319.61160000000001</v>
      </c>
    </row>
    <row r="37" spans="1:8" ht="7.5" customHeight="1" thickBot="1" x14ac:dyDescent="0.25">
      <c r="A37" s="583"/>
      <c r="B37" s="584"/>
      <c r="C37" s="584"/>
      <c r="D37" s="585"/>
      <c r="E37" s="586"/>
      <c r="F37" s="587"/>
      <c r="G37" s="587"/>
      <c r="H37" s="587"/>
    </row>
    <row r="38" spans="1:8" s="610" customFormat="1" ht="22.5" customHeight="1" thickBot="1" x14ac:dyDescent="0.25">
      <c r="A38" s="752" t="s">
        <v>1144</v>
      </c>
      <c r="B38" s="753"/>
      <c r="C38" s="753"/>
      <c r="D38" s="753"/>
      <c r="E38" s="753"/>
      <c r="F38" s="753"/>
      <c r="G38" s="753"/>
      <c r="H38" s="753"/>
    </row>
    <row r="39" spans="1:8" ht="15.75" thickBot="1" x14ac:dyDescent="0.25">
      <c r="A39" s="730" t="s">
        <v>464</v>
      </c>
      <c r="B39" s="730" t="s">
        <v>465</v>
      </c>
      <c r="C39" s="730" t="s">
        <v>466</v>
      </c>
      <c r="D39" s="735" t="s">
        <v>468</v>
      </c>
      <c r="E39" s="760" t="s">
        <v>576</v>
      </c>
      <c r="F39" s="761"/>
      <c r="G39" s="761"/>
      <c r="H39" s="761"/>
    </row>
    <row r="40" spans="1:8" ht="16.5" customHeight="1" x14ac:dyDescent="0.2">
      <c r="A40" s="754"/>
      <c r="B40" s="756"/>
      <c r="C40" s="756"/>
      <c r="D40" s="758"/>
      <c r="E40" s="93"/>
      <c r="F40" s="94"/>
      <c r="G40" s="93"/>
      <c r="H40" s="94" t="s">
        <v>472</v>
      </c>
    </row>
    <row r="41" spans="1:8" ht="17.100000000000001" customHeight="1" thickBot="1" x14ac:dyDescent="0.25">
      <c r="A41" s="755"/>
      <c r="B41" s="757"/>
      <c r="C41" s="757"/>
      <c r="D41" s="759"/>
      <c r="E41" s="620"/>
      <c r="F41" s="621"/>
      <c r="G41" s="620"/>
      <c r="H41" s="621">
        <f>'P-Police (rep)'!G7</f>
        <v>8628.11</v>
      </c>
    </row>
    <row r="42" spans="1:8" ht="15" customHeight="1" x14ac:dyDescent="0.2">
      <c r="A42" s="485">
        <v>1043</v>
      </c>
      <c r="B42" s="614" t="s">
        <v>579</v>
      </c>
      <c r="C42" s="614" t="s">
        <v>1146</v>
      </c>
      <c r="D42" s="459">
        <v>0.04</v>
      </c>
      <c r="E42" s="622"/>
      <c r="F42" s="623"/>
      <c r="G42" s="622"/>
      <c r="H42" s="623">
        <f>$H$41*D42</f>
        <v>345.12440000000004</v>
      </c>
    </row>
    <row r="43" spans="1:8" ht="15" customHeight="1" x14ac:dyDescent="0.2">
      <c r="A43" s="485">
        <v>1046</v>
      </c>
      <c r="B43" s="614" t="s">
        <v>577</v>
      </c>
      <c r="C43" s="615" t="s">
        <v>1147</v>
      </c>
      <c r="D43" s="624">
        <v>0.04</v>
      </c>
      <c r="E43" s="622"/>
      <c r="F43" s="623"/>
      <c r="G43" s="622"/>
      <c r="H43" s="623">
        <f>$H$41*D43</f>
        <v>345.12440000000004</v>
      </c>
    </row>
    <row r="44" spans="1:8" ht="15" customHeight="1" x14ac:dyDescent="0.2">
      <c r="A44" s="485">
        <v>1050</v>
      </c>
      <c r="B44" s="625" t="s">
        <v>992</v>
      </c>
      <c r="C44" s="625" t="s">
        <v>1148</v>
      </c>
      <c r="D44" s="624">
        <v>0.04</v>
      </c>
      <c r="E44" s="622"/>
      <c r="F44" s="623"/>
      <c r="G44" s="622"/>
      <c r="H44" s="623">
        <f>$H$41*D44</f>
        <v>345.12440000000004</v>
      </c>
    </row>
    <row r="45" spans="1:8" ht="15" customHeight="1" thickBot="1" x14ac:dyDescent="0.25">
      <c r="A45" s="523">
        <v>1057</v>
      </c>
      <c r="B45" s="626" t="s">
        <v>993</v>
      </c>
      <c r="C45" s="619" t="s">
        <v>993</v>
      </c>
      <c r="D45" s="627">
        <v>0.04</v>
      </c>
      <c r="E45" s="628"/>
      <c r="F45" s="629"/>
      <c r="G45" s="628"/>
      <c r="H45" s="623">
        <f>$H$41*D45</f>
        <v>345.12440000000004</v>
      </c>
    </row>
    <row r="46" spans="1:8" ht="7.5" customHeight="1" thickBot="1" x14ac:dyDescent="0.25">
      <c r="A46" s="583"/>
      <c r="B46" s="584"/>
      <c r="C46" s="584"/>
      <c r="D46" s="585"/>
      <c r="E46" s="586"/>
      <c r="F46" s="587"/>
      <c r="G46" s="484"/>
      <c r="H46" s="484"/>
    </row>
    <row r="47" spans="1:8" ht="27.75" customHeight="1" thickBot="1" x14ac:dyDescent="0.25">
      <c r="A47" s="730" t="s">
        <v>464</v>
      </c>
      <c r="B47" s="730" t="s">
        <v>465</v>
      </c>
      <c r="C47" s="730" t="s">
        <v>466</v>
      </c>
      <c r="D47" s="735" t="s">
        <v>468</v>
      </c>
      <c r="E47" s="760" t="s">
        <v>994</v>
      </c>
      <c r="F47" s="761"/>
      <c r="G47" s="761"/>
      <c r="H47" s="761"/>
    </row>
    <row r="48" spans="1:8" ht="17.100000000000001" customHeight="1" x14ac:dyDescent="0.2">
      <c r="A48" s="754"/>
      <c r="B48" s="756"/>
      <c r="C48" s="756"/>
      <c r="D48" s="754"/>
      <c r="E48" s="74"/>
      <c r="F48" s="74"/>
      <c r="G48" s="74" t="s">
        <v>472</v>
      </c>
      <c r="H48" s="74" t="s">
        <v>473</v>
      </c>
    </row>
    <row r="49" spans="1:8" ht="17.100000000000001" customHeight="1" thickBot="1" x14ac:dyDescent="0.25">
      <c r="A49" s="755"/>
      <c r="B49" s="757"/>
      <c r="C49" s="757"/>
      <c r="D49" s="755"/>
      <c r="E49" s="611"/>
      <c r="F49" s="611"/>
      <c r="G49" s="611">
        <f>'P-Police (rep)'!F11</f>
        <v>9138.1299999999992</v>
      </c>
      <c r="H49" s="611">
        <f>'P-Police (rep)'!G11</f>
        <v>9557.09</v>
      </c>
    </row>
    <row r="50" spans="1:8" ht="15" customHeight="1" x14ac:dyDescent="0.2">
      <c r="A50" s="485">
        <v>1050</v>
      </c>
      <c r="B50" s="616" t="s">
        <v>992</v>
      </c>
      <c r="C50" s="630" t="s">
        <v>1148</v>
      </c>
      <c r="D50" s="459">
        <v>0.04</v>
      </c>
      <c r="E50" s="488"/>
      <c r="F50" s="488"/>
      <c r="G50" s="488">
        <f>D50*$G$49</f>
        <v>365.52519999999998</v>
      </c>
      <c r="H50" s="488">
        <f>D50*$H$49</f>
        <v>382.28360000000004</v>
      </c>
    </row>
    <row r="51" spans="1:8" ht="15" customHeight="1" x14ac:dyDescent="0.2">
      <c r="A51" s="497">
        <v>1055</v>
      </c>
      <c r="B51" s="631" t="s">
        <v>587</v>
      </c>
      <c r="C51" s="632" t="s">
        <v>1150</v>
      </c>
      <c r="D51" s="502">
        <v>0.04</v>
      </c>
      <c r="E51" s="488"/>
      <c r="F51" s="488"/>
      <c r="G51" s="488">
        <f>D51*$G$49</f>
        <v>365.52519999999998</v>
      </c>
      <c r="H51" s="488">
        <f>D51*$H$49</f>
        <v>382.28360000000004</v>
      </c>
    </row>
    <row r="52" spans="1:8" x14ac:dyDescent="0.2">
      <c r="A52" s="497">
        <v>1052</v>
      </c>
      <c r="B52" s="618" t="s">
        <v>589</v>
      </c>
      <c r="C52" s="633" t="s">
        <v>1151</v>
      </c>
      <c r="D52" s="502">
        <v>0.04</v>
      </c>
      <c r="E52" s="488"/>
      <c r="F52" s="488"/>
      <c r="G52" s="488">
        <f>D52*$G$49</f>
        <v>365.52519999999998</v>
      </c>
      <c r="H52" s="488">
        <f>D52*$H$49</f>
        <v>382.28360000000004</v>
      </c>
    </row>
    <row r="53" spans="1:8" ht="15" customHeight="1" thickBot="1" x14ac:dyDescent="0.25">
      <c r="A53" s="523">
        <v>1057</v>
      </c>
      <c r="B53" s="626" t="s">
        <v>993</v>
      </c>
      <c r="C53" s="619" t="s">
        <v>993</v>
      </c>
      <c r="D53" s="460">
        <v>0.04</v>
      </c>
      <c r="E53" s="508"/>
      <c r="F53" s="508"/>
      <c r="G53" s="508">
        <f>D53*$G$49</f>
        <v>365.52519999999998</v>
      </c>
      <c r="H53" s="508">
        <f>D53*$H$49</f>
        <v>382.28360000000004</v>
      </c>
    </row>
    <row r="54" spans="1:8" ht="7.5" customHeight="1" thickBot="1" x14ac:dyDescent="0.25">
      <c r="A54" s="634"/>
      <c r="B54" s="635"/>
      <c r="C54" s="635"/>
      <c r="D54" s="636"/>
      <c r="E54" s="637"/>
      <c r="F54" s="635"/>
      <c r="G54" s="635"/>
      <c r="H54" s="635"/>
    </row>
    <row r="55" spans="1:8" ht="22.5" customHeight="1" x14ac:dyDescent="0.2">
      <c r="A55" s="750" t="s">
        <v>1152</v>
      </c>
      <c r="B55" s="751"/>
      <c r="C55" s="751"/>
      <c r="D55" s="751"/>
      <c r="E55" s="751"/>
      <c r="F55" s="751"/>
      <c r="G55" s="638"/>
      <c r="H55" s="638"/>
    </row>
    <row r="56" spans="1:8" ht="29.25" customHeight="1" x14ac:dyDescent="0.2">
      <c r="A56" s="746" t="s">
        <v>1153</v>
      </c>
      <c r="B56" s="747"/>
      <c r="C56" s="747"/>
      <c r="D56" s="747"/>
      <c r="E56" s="747"/>
      <c r="F56" s="747"/>
      <c r="G56" s="484"/>
      <c r="H56" s="484"/>
    </row>
    <row r="57" spans="1:8" ht="24" x14ac:dyDescent="0.2">
      <c r="A57" s="639" t="s">
        <v>464</v>
      </c>
      <c r="B57" s="640" t="s">
        <v>465</v>
      </c>
      <c r="C57" s="748" t="s">
        <v>1154</v>
      </c>
      <c r="D57" s="748"/>
      <c r="E57" s="748"/>
      <c r="F57" s="641" t="s">
        <v>1155</v>
      </c>
      <c r="G57" s="484"/>
      <c r="H57" s="484"/>
    </row>
    <row r="58" spans="1:8" x14ac:dyDescent="0.2">
      <c r="A58" s="568">
        <v>1061</v>
      </c>
      <c r="B58" s="569" t="s">
        <v>763</v>
      </c>
      <c r="C58" s="749" t="s">
        <v>1156</v>
      </c>
      <c r="D58" s="749"/>
      <c r="E58" s="749"/>
      <c r="F58" s="571">
        <v>0.03</v>
      </c>
      <c r="G58" s="484"/>
      <c r="H58" s="484"/>
    </row>
    <row r="59" spans="1:8" x14ac:dyDescent="0.2">
      <c r="A59" s="568">
        <v>1059</v>
      </c>
      <c r="B59" s="569" t="s">
        <v>763</v>
      </c>
      <c r="C59" s="749" t="s">
        <v>1157</v>
      </c>
      <c r="D59" s="749"/>
      <c r="E59" s="749"/>
      <c r="F59" s="571">
        <v>0.02</v>
      </c>
      <c r="G59" s="484"/>
      <c r="H59" s="484"/>
    </row>
    <row r="60" spans="1:8" x14ac:dyDescent="0.2">
      <c r="A60" s="568">
        <v>1048</v>
      </c>
      <c r="B60" s="569" t="s">
        <v>763</v>
      </c>
      <c r="C60" s="749" t="s">
        <v>1158</v>
      </c>
      <c r="D60" s="749"/>
      <c r="E60" s="749"/>
      <c r="F60" s="571">
        <v>0.01</v>
      </c>
      <c r="G60" s="484"/>
      <c r="H60" s="484"/>
    </row>
    <row r="61" spans="1:8" ht="29.25" customHeight="1" x14ac:dyDescent="0.2">
      <c r="A61" s="568">
        <v>1059</v>
      </c>
      <c r="B61" s="569" t="s">
        <v>763</v>
      </c>
      <c r="C61" s="744" t="s">
        <v>1159</v>
      </c>
      <c r="D61" s="744"/>
      <c r="E61" s="744"/>
      <c r="F61" s="571">
        <v>0.02</v>
      </c>
      <c r="G61" s="484"/>
      <c r="H61" s="484"/>
    </row>
    <row r="62" spans="1:8" ht="29.25" customHeight="1" x14ac:dyDescent="0.2">
      <c r="A62" s="568">
        <v>1048</v>
      </c>
      <c r="B62" s="569" t="s">
        <v>763</v>
      </c>
      <c r="C62" s="744" t="s">
        <v>1160</v>
      </c>
      <c r="D62" s="744"/>
      <c r="E62" s="744"/>
      <c r="F62" s="571">
        <v>0.01</v>
      </c>
      <c r="G62" s="484"/>
      <c r="H62" s="484"/>
    </row>
    <row r="63" spans="1:8" ht="29.25" customHeight="1" thickBot="1" x14ac:dyDescent="0.25">
      <c r="A63" s="573">
        <v>1059</v>
      </c>
      <c r="B63" s="574" t="s">
        <v>763</v>
      </c>
      <c r="C63" s="745" t="s">
        <v>1161</v>
      </c>
      <c r="D63" s="745"/>
      <c r="E63" s="745"/>
      <c r="F63" s="576">
        <v>0.02</v>
      </c>
      <c r="G63" s="642"/>
      <c r="H63" s="642"/>
    </row>
  </sheetData>
  <mergeCells count="39">
    <mergeCell ref="A1:E1"/>
    <mergeCell ref="F1:H6"/>
    <mergeCell ref="A2:A4"/>
    <mergeCell ref="B2:B4"/>
    <mergeCell ref="C2:C4"/>
    <mergeCell ref="D2:D4"/>
    <mergeCell ref="A8:H8"/>
    <mergeCell ref="C9:E9"/>
    <mergeCell ref="C10:E10"/>
    <mergeCell ref="A12:A14"/>
    <mergeCell ref="B12:B14"/>
    <mergeCell ref="C12:C14"/>
    <mergeCell ref="D12:D14"/>
    <mergeCell ref="A23:H23"/>
    <mergeCell ref="A24:A26"/>
    <mergeCell ref="B24:B26"/>
    <mergeCell ref="C24:C26"/>
    <mergeCell ref="D24:D26"/>
    <mergeCell ref="E24:H24"/>
    <mergeCell ref="A55:F55"/>
    <mergeCell ref="A38:H38"/>
    <mergeCell ref="A39:A41"/>
    <mergeCell ref="B39:B41"/>
    <mergeCell ref="C39:C41"/>
    <mergeCell ref="D39:D41"/>
    <mergeCell ref="E39:H39"/>
    <mergeCell ref="A47:A49"/>
    <mergeCell ref="B47:B49"/>
    <mergeCell ref="C47:C49"/>
    <mergeCell ref="D47:D49"/>
    <mergeCell ref="E47:H47"/>
    <mergeCell ref="C62:E62"/>
    <mergeCell ref="C63:E63"/>
    <mergeCell ref="A56:F56"/>
    <mergeCell ref="C57:E57"/>
    <mergeCell ref="C58:E58"/>
    <mergeCell ref="C59:E59"/>
    <mergeCell ref="C60:E60"/>
    <mergeCell ref="C61:E61"/>
  </mergeCells>
  <printOptions horizontalCentered="1"/>
  <pageMargins left="0.25" right="0.25" top="1.75" bottom="0.75" header="0.5" footer="0.5"/>
  <pageSetup scale="94" fitToHeight="2" orientation="portrait" r:id="rId1"/>
  <headerFooter alignWithMargins="0">
    <oddHeader>&amp;LOrdinance #  (budget adoption)
Resolution # 9512 (contract adoption)&amp;C&amp;"Times New Roman,Bold"&amp;14
&amp;K000000
2019 CITY OF BELLEVUE PAY PLANS
BELLEVUE POLICE OFFICERS GUILD
OFFICERS, CORPORALS AND SERGEANTS</oddHeader>
    <oddFooter>&amp;C&amp;"Times New Roman,Bold"&amp;16&amp;A&amp;R&amp;"Times New Roman,Regular"Effective 01/01/19
System Update 01/xx/19</oddFooter>
  </headerFooter>
  <rowBreaks count="1" manualBreakCount="1">
    <brk id="37" max="8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>
    <tabColor rgb="FF92D050"/>
  </sheetPr>
  <dimension ref="A1:M216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7.7109375" style="186" customWidth="1"/>
    <col min="2" max="2" width="8.7109375" style="186" customWidth="1"/>
    <col min="3" max="3" width="35.7109375" style="160" customWidth="1"/>
    <col min="4" max="6" width="10.7109375" style="233" customWidth="1"/>
    <col min="7" max="7" width="10.7109375" style="160" bestFit="1" customWidth="1"/>
    <col min="8" max="9" width="9.140625" style="160"/>
    <col min="10" max="10" width="17" style="160" bestFit="1" customWidth="1"/>
    <col min="11" max="16384" width="9.140625" style="160"/>
  </cols>
  <sheetData>
    <row r="1" spans="1:13" s="174" customFormat="1" x14ac:dyDescent="0.2">
      <c r="A1" s="657" t="s">
        <v>550</v>
      </c>
      <c r="B1" s="659" t="s">
        <v>0</v>
      </c>
      <c r="C1" s="659" t="s">
        <v>1</v>
      </c>
      <c r="D1" s="676" t="s">
        <v>376</v>
      </c>
      <c r="E1" s="676" t="s">
        <v>378</v>
      </c>
      <c r="F1" s="676" t="s">
        <v>377</v>
      </c>
      <c r="G1" s="401">
        <v>2019</v>
      </c>
      <c r="K1" s="225"/>
      <c r="L1" s="225"/>
    </row>
    <row r="2" spans="1:13" s="177" customFormat="1" x14ac:dyDescent="0.2">
      <c r="A2" s="658"/>
      <c r="B2" s="658"/>
      <c r="C2" s="660"/>
      <c r="D2" s="677"/>
      <c r="E2" s="677"/>
      <c r="F2" s="677"/>
      <c r="G2" s="304"/>
      <c r="K2" s="161" t="s">
        <v>461</v>
      </c>
      <c r="L2" s="161" t="s">
        <v>462</v>
      </c>
      <c r="M2" s="177" t="s">
        <v>377</v>
      </c>
    </row>
    <row r="3" spans="1:13" x14ac:dyDescent="0.2">
      <c r="A3" s="186" t="s">
        <v>84</v>
      </c>
      <c r="B3" s="188" t="s">
        <v>373</v>
      </c>
      <c r="C3" s="189" t="s">
        <v>780</v>
      </c>
      <c r="D3" s="166">
        <v>12</v>
      </c>
      <c r="E3" s="166">
        <v>12</v>
      </c>
      <c r="F3" s="166">
        <v>12</v>
      </c>
      <c r="G3" s="167" t="s">
        <v>11</v>
      </c>
      <c r="H3" s="167"/>
      <c r="I3" s="167"/>
      <c r="J3" s="182" t="s">
        <v>455</v>
      </c>
      <c r="K3" s="183">
        <f>(E3-D3)/D3</f>
        <v>0</v>
      </c>
      <c r="L3" s="204">
        <f>(F3-E3)/E3</f>
        <v>0</v>
      </c>
    </row>
    <row r="4" spans="1:13" ht="35.1" customHeight="1" x14ac:dyDescent="0.2">
      <c r="D4" s="166"/>
      <c r="E4" s="166"/>
      <c r="F4" s="166"/>
      <c r="G4" s="167"/>
      <c r="H4" s="167"/>
      <c r="I4" s="167"/>
      <c r="J4" s="182"/>
      <c r="K4" s="183"/>
      <c r="L4" s="204"/>
      <c r="M4" s="204"/>
    </row>
    <row r="5" spans="1:13" x14ac:dyDescent="0.2">
      <c r="A5" s="186" t="s">
        <v>85</v>
      </c>
      <c r="B5" s="188" t="s">
        <v>374</v>
      </c>
      <c r="C5" s="189" t="s">
        <v>781</v>
      </c>
      <c r="D5" s="166">
        <v>12</v>
      </c>
      <c r="E5" s="166">
        <f>(D5+F5)/2</f>
        <v>12.1</v>
      </c>
      <c r="F5" s="166">
        <v>12.2</v>
      </c>
      <c r="G5" s="167" t="s">
        <v>11</v>
      </c>
      <c r="H5" s="167"/>
      <c r="I5" s="167"/>
      <c r="J5" s="182" t="s">
        <v>455</v>
      </c>
      <c r="K5" s="183">
        <f>(E5-D5)/D5</f>
        <v>8.3333333333333037E-3</v>
      </c>
      <c r="L5" s="204">
        <f>(F5-E5)/E5</f>
        <v>8.2644628099173261E-3</v>
      </c>
    </row>
    <row r="6" spans="1:13" ht="35.1" customHeight="1" x14ac:dyDescent="0.2">
      <c r="B6" s="248"/>
      <c r="C6" s="252"/>
      <c r="D6" s="170"/>
      <c r="E6" s="170"/>
      <c r="F6" s="170"/>
      <c r="G6" s="167"/>
      <c r="H6" s="167"/>
      <c r="I6" s="167"/>
      <c r="J6" s="167"/>
      <c r="K6" s="167"/>
    </row>
    <row r="7" spans="1:13" x14ac:dyDescent="0.2">
      <c r="A7" s="186" t="s">
        <v>86</v>
      </c>
      <c r="B7" s="179" t="s">
        <v>375</v>
      </c>
      <c r="C7" s="165" t="s">
        <v>782</v>
      </c>
      <c r="D7" s="166">
        <v>12.5</v>
      </c>
      <c r="E7" s="166">
        <f>SUM(D7+F7)/2</f>
        <v>17</v>
      </c>
      <c r="F7" s="166">
        <v>21.5</v>
      </c>
      <c r="G7" s="167" t="s">
        <v>11</v>
      </c>
      <c r="H7" s="167"/>
      <c r="I7" s="167"/>
      <c r="J7" s="182" t="s">
        <v>455</v>
      </c>
      <c r="K7" s="183">
        <f>(E7-D7)/D7</f>
        <v>0.36</v>
      </c>
      <c r="L7" s="204">
        <f>(F7-E7)/E7</f>
        <v>0.26470588235294118</v>
      </c>
    </row>
    <row r="8" spans="1:13" ht="35.1" customHeight="1" x14ac:dyDescent="0.2">
      <c r="B8" s="248"/>
      <c r="C8" s="167"/>
      <c r="D8" s="166"/>
      <c r="E8" s="166"/>
      <c r="F8" s="166"/>
      <c r="G8" s="167"/>
      <c r="H8" s="167"/>
      <c r="I8" s="167"/>
      <c r="J8" s="182"/>
      <c r="K8" s="296"/>
      <c r="L8" s="204"/>
      <c r="M8" s="204"/>
    </row>
    <row r="61" spans="9:9" x14ac:dyDescent="0.2">
      <c r="I61" s="437"/>
    </row>
    <row r="77" spans="9:9" x14ac:dyDescent="0.2">
      <c r="I77" s="437"/>
    </row>
    <row r="216" spans="9:9" x14ac:dyDescent="0.2">
      <c r="I216" s="437"/>
    </row>
  </sheetData>
  <customSheetViews>
    <customSheetView guid="{03674138-A9FA-46A6-AB09-A74C70852C0D}" showPageBreaks="1" printArea="1" view="pageLayout">
      <selection activeCell="F22" sqref="F22"/>
      <pageMargins left="0.25" right="0.25" top="1.75" bottom="1" header="0.5" footer="0.5"/>
      <printOptions horizontalCentered="1" gridLines="1"/>
      <pageSetup orientation="portrait" r:id="rId1"/>
      <headerFooter alignWithMargins="0">
        <oddHeader>&amp;L&amp;"Times New Roman,Regular"Ordinance #  (budget adoption)&amp;C&amp;"Times New Roman,Bold"&amp;16ATTACHMENT I
2016 CITY OF BELLEVUE PAY PLANS
NON-AFFILIATED
RECREATION ASSISTANTS</oddHeader>
        <oddFooter>&amp;L&amp;"Times New Roman,Bold"&amp;UNOTE&amp;"Times New Roman,Regular"&amp;U:  These positions are not subject to
GSA/COLA increases.&amp;C&amp;"Times New Roman,Bold"&amp;16&amp;A</oddFooter>
      </headerFooter>
    </customSheetView>
    <customSheetView guid="{6140C585-A678-4296-91B8-0C17DF653D09}" showPageBreaks="1" printArea="1" view="pageLayout">
      <selection sqref="A1:A2"/>
      <pageMargins left="0.25" right="0.25" top="1.75" bottom="1" header="0.5" footer="0.5"/>
      <printOptions horizontalCentered="1" gridLines="1"/>
      <pageSetup orientation="portrait" r:id="rId2"/>
      <headerFooter alignWithMargins="0">
        <oddHeader>&amp;LOrdinance #  (budget adoption)&amp;C&amp;"Arial,Bold"&amp;16
2016 CITY OF BELLEVUE PAY PLANS
&amp;14NON-AFFILIATED
RECREATION ASSISTANTS</oddHeader>
        <oddFooter>&amp;L&amp;"Arial,Bold"&amp;UNOTE&amp;"Arial,Regular"&amp;U:  These positions are not subject to
GSA/COLA increases.&amp;C&amp;"Arial,Bold"&amp;16&amp;A&amp;REffective 01/01/16,
System Update 01/xx/16</oddFooter>
      </headerFooter>
    </customSheetView>
    <customSheetView guid="{49073133-97C6-4E81-BEFE-D9E658C173F7}" showPageBreaks="1" printArea="1" view="pageLayout">
      <selection sqref="A1:A2"/>
      <pageMargins left="0.25" right="0.25" top="1.75" bottom="1" header="0.5" footer="0.5"/>
      <printOptions horizontalCentered="1" gridLines="1"/>
      <pageSetup orientation="portrait" r:id="rId3"/>
      <headerFooter alignWithMargins="0">
        <oddHeader>&amp;LOrdinance #  (budget adoption)&amp;C&amp;"Arial,Bold"&amp;16
2016 CITY OF BELLEVUE PAY PLANS
&amp;14NON-AFFILIATED
RECREATION ASSISTANTS</oddHeader>
        <oddFooter>&amp;L&amp;"Arial,Bold"&amp;UNOTE&amp;"Arial,Regular"&amp;U:  These positions are not subject to
GSA/COLA increases.&amp;C&amp;"Arial,Bold"&amp;16&amp;A&amp;REffective 01/01/16,
System Update 01/xx/16</oddFooter>
      </headerFooter>
    </customSheetView>
  </customSheetViews>
  <mergeCells count="6">
    <mergeCell ref="E1:E2"/>
    <mergeCell ref="F1:F2"/>
    <mergeCell ref="A1:A2"/>
    <mergeCell ref="B1:B2"/>
    <mergeCell ref="C1:C2"/>
    <mergeCell ref="D1:D2"/>
  </mergeCells>
  <phoneticPr fontId="7" type="noConversion"/>
  <printOptions horizontalCentered="1" gridLines="1"/>
  <pageMargins left="0.25" right="0.25" top="1.75" bottom="1" header="0.5" footer="0.5"/>
  <pageSetup orientation="portrait" r:id="rId4"/>
  <headerFooter alignWithMargins="0">
    <oddHeader>&amp;LOrdinance # (budget adoption)&amp;C&amp;"Times New Roman,Bold"&amp;14
2019 CITY OF BELLEVUE PAY PLANS
NON-AFFILIATED
RECREATION ASSISTANTS</oddHeader>
    <oddFooter>&amp;L&amp;"Times New Roman,Bold"&amp;UNOTE&amp;"Times New Roman,Regular"&amp;U:  These positions are not subject to
GSA/COLA increases.&amp;C&amp;"Times New Roman,Bold"&amp;16&amp;A&amp;R&amp;"Times New Roman,Regular"Effective 01/01/19
System Update 01/xx/19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tabColor rgb="FF92D050"/>
  </sheetPr>
  <dimension ref="A1:M216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5" style="186" customWidth="1"/>
    <col min="2" max="2" width="8.28515625" style="186" customWidth="1"/>
    <col min="3" max="3" width="45.28515625" style="160" customWidth="1"/>
    <col min="4" max="6" width="10.7109375" style="187" customWidth="1"/>
    <col min="7" max="7" width="9.7109375" style="160" bestFit="1" customWidth="1"/>
    <col min="8" max="9" width="9.140625" style="160"/>
    <col min="10" max="10" width="17" style="160" bestFit="1" customWidth="1"/>
    <col min="11" max="16384" width="9.140625" style="160"/>
  </cols>
  <sheetData>
    <row r="1" spans="1:13" s="174" customFormat="1" x14ac:dyDescent="0.2">
      <c r="A1" s="657" t="s">
        <v>550</v>
      </c>
      <c r="B1" s="659" t="s">
        <v>0</v>
      </c>
      <c r="C1" s="659" t="s">
        <v>1</v>
      </c>
      <c r="D1" s="782" t="s">
        <v>376</v>
      </c>
      <c r="E1" s="782" t="s">
        <v>378</v>
      </c>
      <c r="F1" s="782" t="s">
        <v>377</v>
      </c>
      <c r="G1" s="305">
        <v>2019</v>
      </c>
      <c r="J1" s="244">
        <v>2019</v>
      </c>
      <c r="K1" s="225"/>
      <c r="L1" s="225"/>
    </row>
    <row r="2" spans="1:13" s="177" customFormat="1" x14ac:dyDescent="0.2">
      <c r="A2" s="658"/>
      <c r="B2" s="658"/>
      <c r="C2" s="660"/>
      <c r="D2" s="783"/>
      <c r="E2" s="783"/>
      <c r="F2" s="783"/>
      <c r="G2" s="304"/>
      <c r="J2" s="293">
        <v>1.0324</v>
      </c>
      <c r="K2" s="297" t="s">
        <v>461</v>
      </c>
      <c r="L2" s="297" t="s">
        <v>462</v>
      </c>
      <c r="M2" s="177" t="s">
        <v>377</v>
      </c>
    </row>
    <row r="3" spans="1:13" x14ac:dyDescent="0.2">
      <c r="A3" s="188" t="s">
        <v>177</v>
      </c>
      <c r="B3" s="186" t="s">
        <v>239</v>
      </c>
      <c r="C3" s="160" t="s">
        <v>42</v>
      </c>
      <c r="D3" s="298">
        <f>'G - General Pay Plan'!E106</f>
        <v>5748.7624999999998</v>
      </c>
      <c r="E3" s="298">
        <f>'G - General Pay Plan'!F106</f>
        <v>6840.65625</v>
      </c>
      <c r="F3" s="298">
        <f>'G - General Pay Plan'!G106</f>
        <v>7932.55</v>
      </c>
      <c r="G3" s="160" t="s">
        <v>10</v>
      </c>
      <c r="J3" s="228" t="s">
        <v>455</v>
      </c>
      <c r="K3" s="204">
        <f>(E3-D3)/D3</f>
        <v>0.18993544262786996</v>
      </c>
      <c r="L3" s="204">
        <f>(F3-E3)/E3</f>
        <v>0.15961827492793548</v>
      </c>
    </row>
    <row r="4" spans="1:13" x14ac:dyDescent="0.2">
      <c r="B4" s="299"/>
      <c r="C4" s="167"/>
      <c r="D4" s="298">
        <f>12*D3</f>
        <v>68985.149999999994</v>
      </c>
      <c r="E4" s="298">
        <f>12*E3</f>
        <v>82087.875</v>
      </c>
      <c r="F4" s="298">
        <f>12*F3</f>
        <v>95190.6</v>
      </c>
      <c r="G4" s="160" t="s">
        <v>520</v>
      </c>
      <c r="J4" s="228" t="s">
        <v>456</v>
      </c>
      <c r="K4" s="204">
        <f>(F3-D3)/D3</f>
        <v>0.37987088525573992</v>
      </c>
    </row>
    <row r="5" spans="1:13" x14ac:dyDescent="0.2">
      <c r="B5" s="188"/>
      <c r="D5" s="298">
        <f>D4/2080</f>
        <v>33.165937499999998</v>
      </c>
      <c r="E5" s="298">
        <f>E4/2080</f>
        <v>39.465324519230769</v>
      </c>
      <c r="F5" s="298">
        <f>F4/2080</f>
        <v>45.76471153846154</v>
      </c>
      <c r="G5" s="160" t="s">
        <v>11</v>
      </c>
      <c r="J5" s="228" t="s">
        <v>457</v>
      </c>
      <c r="K5" s="204">
        <f>(D32-D3)/D3</f>
        <v>5.115941619319523E-2</v>
      </c>
      <c r="L5" s="204">
        <f>(E32-E3)/E3</f>
        <v>5.0929141484050013E-2</v>
      </c>
      <c r="M5" s="204">
        <f>(F32-F3)/F3</f>
        <v>5.0762260139131384E-2</v>
      </c>
    </row>
    <row r="6" spans="1:13" s="177" customFormat="1" ht="35.1" customHeight="1" x14ac:dyDescent="0.2">
      <c r="A6" s="186"/>
      <c r="B6" s="186"/>
      <c r="C6" s="162"/>
      <c r="D6" s="298"/>
      <c r="E6" s="298"/>
      <c r="F6" s="298"/>
    </row>
    <row r="8" spans="1:13" x14ac:dyDescent="0.2">
      <c r="D8" s="233"/>
      <c r="E8" s="233"/>
      <c r="F8" s="233"/>
    </row>
    <row r="9" spans="1:13" x14ac:dyDescent="0.2">
      <c r="D9" s="233"/>
      <c r="E9" s="233"/>
      <c r="F9" s="233"/>
    </row>
    <row r="10" spans="1:13" x14ac:dyDescent="0.2">
      <c r="D10" s="233"/>
      <c r="E10" s="233"/>
      <c r="F10" s="233"/>
    </row>
    <row r="11" spans="1:13" x14ac:dyDescent="0.2">
      <c r="D11" s="233"/>
      <c r="E11" s="233"/>
      <c r="F11" s="233"/>
    </row>
    <row r="12" spans="1:13" x14ac:dyDescent="0.2">
      <c r="D12" s="233"/>
      <c r="E12" s="233"/>
      <c r="F12" s="233"/>
    </row>
    <row r="13" spans="1:13" x14ac:dyDescent="0.2">
      <c r="D13" s="233"/>
      <c r="E13" s="233"/>
      <c r="F13" s="233"/>
    </row>
    <row r="31" spans="1:12" x14ac:dyDescent="0.2">
      <c r="C31" s="160" t="s">
        <v>867</v>
      </c>
    </row>
    <row r="32" spans="1:12" x14ac:dyDescent="0.2">
      <c r="A32" s="188" t="s">
        <v>178</v>
      </c>
      <c r="B32" s="186" t="s">
        <v>247</v>
      </c>
      <c r="C32" s="189" t="s">
        <v>138</v>
      </c>
      <c r="D32" s="298">
        <f>'G - General Pay Plan'!E133</f>
        <v>6042.8658333333333</v>
      </c>
      <c r="E32" s="298">
        <f>'G - General Pay Plan'!F133</f>
        <v>7189.045000000001</v>
      </c>
      <c r="F32" s="298">
        <f>'G - General Pay Plan'!G133</f>
        <v>8335.2241666666669</v>
      </c>
      <c r="G32" s="160" t="s">
        <v>10</v>
      </c>
      <c r="J32" s="228" t="s">
        <v>455</v>
      </c>
      <c r="K32" s="204">
        <f>(E32-D32)/D32</f>
        <v>0.18967476662218372</v>
      </c>
      <c r="L32" s="204">
        <f>(F32-E32)/E32</f>
        <v>0.15943413439012633</v>
      </c>
    </row>
    <row r="33" spans="4:11" x14ac:dyDescent="0.2">
      <c r="D33" s="298">
        <f>12*D32</f>
        <v>72514.39</v>
      </c>
      <c r="E33" s="298">
        <f>12*E32</f>
        <v>86268.540000000008</v>
      </c>
      <c r="F33" s="298">
        <f>12*F32</f>
        <v>100022.69</v>
      </c>
      <c r="G33" s="160" t="s">
        <v>520</v>
      </c>
      <c r="J33" s="228" t="s">
        <v>456</v>
      </c>
      <c r="K33" s="204">
        <f>(F32-D32)/D32</f>
        <v>0.37934953324436715</v>
      </c>
    </row>
    <row r="34" spans="4:11" x14ac:dyDescent="0.2">
      <c r="D34" s="298">
        <f>D33/2080</f>
        <v>34.8626875</v>
      </c>
      <c r="E34" s="298">
        <f>E33/2080</f>
        <v>41.475259615384623</v>
      </c>
      <c r="F34" s="298">
        <f>F33/2080</f>
        <v>48.087831730769231</v>
      </c>
      <c r="G34" s="160" t="s">
        <v>11</v>
      </c>
    </row>
    <row r="61" spans="9:9" x14ac:dyDescent="0.2">
      <c r="I61" s="437"/>
    </row>
    <row r="77" spans="9:9" x14ac:dyDescent="0.2">
      <c r="I77" s="437"/>
    </row>
    <row r="216" spans="9:9" x14ac:dyDescent="0.2">
      <c r="I216" s="437"/>
    </row>
  </sheetData>
  <customSheetViews>
    <customSheetView guid="{03674138-A9FA-46A6-AB09-A74C70852C0D}" showPageBreaks="1" printArea="1" view="pageLayout">
      <selection activeCell="C12" sqref="C12"/>
      <pageMargins left="0.25" right="0.25" top="1.75" bottom="1" header="0.5" footer="0.5"/>
      <printOptions horizontalCentered="1" gridLines="1"/>
      <pageSetup orientation="portrait" r:id="rId1"/>
      <headerFooter alignWithMargins="0">
        <oddHeader>&amp;L&amp;"Times New Roman,Regular"Ordinance #  (budget adoption)&amp;C&amp;"Times New Roman,Bold"&amp;16ATTACHMENT I
2016 CITY OF BELLEVUE PAY PLANS
NON-AFFILIATED
POLICE RECORDS SUPERVISORS</oddHeader>
        <oddFooter>&amp;C&amp;"Times New Roman,Bold"&amp;16&amp;A</oddFooter>
      </headerFooter>
    </customSheetView>
    <customSheetView guid="{6140C585-A678-4296-91B8-0C17DF653D09}" showPageBreaks="1" printArea="1" view="pageLayout">
      <selection sqref="A1:A2"/>
      <pageMargins left="0.25" right="0.25" top="1.75" bottom="1" header="0.5" footer="0.5"/>
      <printOptions horizontalCentered="1" gridLines="1"/>
      <pageSetup orientation="portrait" r:id="rId2"/>
      <headerFooter alignWithMargins="0">
        <oddHeader>&amp;LOrdinance #  (budget adoption)&amp;C&amp;"Arial,Bold"&amp;16
2016 CITY OF BELLEVUE PAY PLANS
&amp;14NON-AFFILIATED
POLICE RECORDS SUPERVISORS</oddHeader>
        <oddFooter>&amp;C&amp;"Arial,Bold"&amp;16&amp;A&amp;REffective 01/01/15
System Update 01/xx/15</oddFooter>
      </headerFooter>
    </customSheetView>
    <customSheetView guid="{49073133-97C6-4E81-BEFE-D9E658C173F7}" showPageBreaks="1" printArea="1" view="pageLayout">
      <selection sqref="A1:A2"/>
      <pageMargins left="0.25" right="0.25" top="1.75" bottom="1" header="0.5" footer="0.5"/>
      <printOptions horizontalCentered="1" gridLines="1"/>
      <pageSetup orientation="portrait" r:id="rId3"/>
      <headerFooter alignWithMargins="0">
        <oddHeader>&amp;LOrdinance #  (budget adoption)&amp;C&amp;"Arial,Bold"&amp;16
2016 CITY OF BELLEVUE PAY PLANS
&amp;14NON-AFFILIATED
POLICE RECORDS SUPERVISORS</oddHeader>
        <oddFooter>&amp;C&amp;"Arial,Bold"&amp;16&amp;A&amp;REffective 01/01/15
System Update 01/xx/15</oddFooter>
      </headerFooter>
    </customSheetView>
  </customSheetViews>
  <mergeCells count="6">
    <mergeCell ref="E1:E2"/>
    <mergeCell ref="F1:F2"/>
    <mergeCell ref="A1:A2"/>
    <mergeCell ref="B1:B2"/>
    <mergeCell ref="C1:C2"/>
    <mergeCell ref="D1:D2"/>
  </mergeCells>
  <phoneticPr fontId="7" type="noConversion"/>
  <printOptions horizontalCentered="1" gridLines="1"/>
  <pageMargins left="0.25" right="0.25" top="1.75" bottom="1" header="0.5" footer="0.5"/>
  <pageSetup orientation="portrait" r:id="rId4"/>
  <headerFooter alignWithMargins="0">
    <oddHeader>&amp;LOrdinance # (pay plan adoption)&amp;C&amp;"Times New Roman,Bold"&amp;14
2019 CITY OF BELLEVUE PAY PLANS
NON-AFFILIATED
POLICE RECORDS SUPERVISORS</oddHeader>
    <oddFooter>&amp;C&amp;"Times New Roman,Bold"&amp;16&amp;A&amp;R&amp;"Times New Roman,Regular"Effective 01/01/19
System Update 01/xx/19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2">
    <tabColor rgb="FF92D050"/>
  </sheetPr>
  <dimension ref="A1:K216"/>
  <sheetViews>
    <sheetView view="pageLayout" zoomScaleNormal="100" workbookViewId="0">
      <selection activeCell="E5" sqref="E5"/>
    </sheetView>
  </sheetViews>
  <sheetFormatPr defaultColWidth="9.140625" defaultRowHeight="12.75" x14ac:dyDescent="0.2"/>
  <cols>
    <col min="1" max="1" width="7.7109375" style="413" customWidth="1"/>
    <col min="2" max="2" width="2.7109375" style="413" customWidth="1"/>
    <col min="3" max="3" width="8.28515625" style="413" customWidth="1"/>
    <col min="4" max="4" width="35.7109375" style="160" customWidth="1"/>
    <col min="5" max="5" width="12.28515625" style="187" bestFit="1" customWidth="1"/>
    <col min="6" max="6" width="10.7109375" style="160" bestFit="1" customWidth="1"/>
    <col min="7" max="16384" width="9.140625" style="160"/>
  </cols>
  <sheetData>
    <row r="1" spans="1:11" s="174" customFormat="1" x14ac:dyDescent="0.2">
      <c r="A1" s="657" t="s">
        <v>550</v>
      </c>
      <c r="B1" s="659"/>
      <c r="C1" s="659" t="s">
        <v>0</v>
      </c>
      <c r="D1" s="659" t="s">
        <v>1</v>
      </c>
      <c r="E1" s="782" t="s">
        <v>458</v>
      </c>
      <c r="F1" s="305">
        <v>2019</v>
      </c>
      <c r="I1" s="174" t="s">
        <v>1122</v>
      </c>
      <c r="K1" s="174">
        <v>1.0324</v>
      </c>
    </row>
    <row r="2" spans="1:11" s="414" customFormat="1" x14ac:dyDescent="0.2">
      <c r="A2" s="658"/>
      <c r="B2" s="658"/>
      <c r="C2" s="658"/>
      <c r="D2" s="660"/>
      <c r="E2" s="783"/>
      <c r="F2" s="305"/>
      <c r="I2" s="784" t="s">
        <v>1123</v>
      </c>
      <c r="J2" s="784"/>
    </row>
    <row r="3" spans="1:11" x14ac:dyDescent="0.2">
      <c r="A3" s="413" t="s">
        <v>87</v>
      </c>
      <c r="B3" s="413" t="s">
        <v>88</v>
      </c>
      <c r="C3" s="188" t="s">
        <v>360</v>
      </c>
      <c r="D3" s="160" t="s">
        <v>37</v>
      </c>
      <c r="E3" s="300">
        <f>E4/12</f>
        <v>25171.25</v>
      </c>
      <c r="F3" s="160" t="s">
        <v>10</v>
      </c>
    </row>
    <row r="4" spans="1:11" x14ac:dyDescent="0.2">
      <c r="C4" s="188"/>
      <c r="D4" s="231"/>
      <c r="E4" s="300">
        <v>302055</v>
      </c>
      <c r="F4" s="160" t="s">
        <v>520</v>
      </c>
    </row>
    <row r="5" spans="1:11" x14ac:dyDescent="0.2">
      <c r="E5" s="298">
        <f>E4/2080</f>
        <v>145.21875</v>
      </c>
      <c r="F5" s="160" t="s">
        <v>11</v>
      </c>
    </row>
    <row r="6" spans="1:11" ht="35.1" customHeight="1" x14ac:dyDescent="0.2"/>
    <row r="8" spans="1:11" x14ac:dyDescent="0.2">
      <c r="F8" s="443"/>
    </row>
    <row r="9" spans="1:11" x14ac:dyDescent="0.2">
      <c r="E9" s="442"/>
      <c r="F9" s="443"/>
    </row>
    <row r="10" spans="1:11" x14ac:dyDescent="0.2">
      <c r="E10" s="442"/>
      <c r="F10" s="443"/>
    </row>
    <row r="11" spans="1:11" x14ac:dyDescent="0.2">
      <c r="F11" s="443"/>
    </row>
    <row r="12" spans="1:11" x14ac:dyDescent="0.2">
      <c r="E12" s="442"/>
      <c r="F12" s="444"/>
    </row>
    <row r="61" spans="9:9" x14ac:dyDescent="0.2">
      <c r="I61" s="437"/>
    </row>
    <row r="77" spans="9:9" x14ac:dyDescent="0.2">
      <c r="I77" s="437"/>
    </row>
    <row r="216" spans="9:9" x14ac:dyDescent="0.2">
      <c r="I216" s="437"/>
    </row>
  </sheetData>
  <mergeCells count="6">
    <mergeCell ref="I2:J2"/>
    <mergeCell ref="A1:A2"/>
    <mergeCell ref="B1:B2"/>
    <mergeCell ref="C1:C2"/>
    <mergeCell ref="D1:D2"/>
    <mergeCell ref="E1:E2"/>
  </mergeCells>
  <printOptions horizontalCentered="1" gridLines="1"/>
  <pageMargins left="0.25" right="0.25" top="1.75" bottom="1" header="0.5" footer="0.5"/>
  <pageSetup orientation="portrait" r:id="rId1"/>
  <headerFooter alignWithMargins="0">
    <oddHeader>&amp;LOrdinance #6389 (pay rate adoption)
Ordinance #6163,6268,6341,6392 (CM Comp)&amp;C&amp;"Times New Roman,Regular"&amp;14&amp;KFF0000   
&amp;"Times New Roman,Bold" &amp;K0000002019 CITY OF BELLEVUE PAY PLANS
NON-AFFILIATED
CITY MANAGER</oddHeader>
    <oddFooter>&amp;L&amp;"Times New Roman,Regular"*Changes to this plan are subject to 
council approval&amp;C&amp;"Times New Roman,Bold"&amp;16&amp;A&amp;REffective 01/01/19
System Update 01/xx/19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>
    <tabColor rgb="FF92D050"/>
  </sheetPr>
  <dimension ref="A1:M216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5.7109375" style="186" customWidth="1"/>
    <col min="2" max="2" width="2.7109375" style="186" customWidth="1"/>
    <col min="3" max="3" width="8.28515625" style="186" customWidth="1"/>
    <col min="4" max="4" width="39.5703125" style="160" bestFit="1" customWidth="1"/>
    <col min="5" max="7" width="11.7109375" style="233" customWidth="1"/>
    <col min="8" max="8" width="11.5703125" style="160" bestFit="1" customWidth="1"/>
    <col min="9" max="10" width="9.140625" style="160"/>
    <col min="11" max="11" width="14" style="160" bestFit="1" customWidth="1"/>
    <col min="12" max="16384" width="9.140625" style="160"/>
  </cols>
  <sheetData>
    <row r="1" spans="1:13" s="174" customFormat="1" x14ac:dyDescent="0.2">
      <c r="A1" s="709" t="s">
        <v>550</v>
      </c>
      <c r="B1" s="707"/>
      <c r="C1" s="707" t="s">
        <v>0</v>
      </c>
      <c r="D1" s="707" t="s">
        <v>1</v>
      </c>
      <c r="E1" s="705"/>
      <c r="F1" s="705"/>
      <c r="G1" s="705" t="s">
        <v>377</v>
      </c>
      <c r="H1" s="309">
        <v>2019</v>
      </c>
      <c r="J1" s="174">
        <v>2019</v>
      </c>
      <c r="K1" s="455">
        <v>1.0359999999999999E-2</v>
      </c>
      <c r="L1" s="225"/>
      <c r="M1" s="225"/>
    </row>
    <row r="2" spans="1:13" s="177" customFormat="1" x14ac:dyDescent="0.2">
      <c r="A2" s="708"/>
      <c r="B2" s="708"/>
      <c r="C2" s="708"/>
      <c r="D2" s="710"/>
      <c r="E2" s="706"/>
      <c r="F2" s="706"/>
      <c r="G2" s="706"/>
      <c r="H2" s="308"/>
      <c r="K2" s="301"/>
      <c r="L2" s="297" t="s">
        <v>461</v>
      </c>
      <c r="M2" s="297" t="s">
        <v>462</v>
      </c>
    </row>
    <row r="3" spans="1:13" x14ac:dyDescent="0.2">
      <c r="A3" s="179" t="s">
        <v>389</v>
      </c>
      <c r="B3" s="176" t="s">
        <v>88</v>
      </c>
      <c r="C3" s="179" t="s">
        <v>357</v>
      </c>
      <c r="D3" s="252" t="s">
        <v>900</v>
      </c>
      <c r="E3" s="238"/>
      <c r="F3" s="238"/>
      <c r="G3" s="238">
        <f>G4/12</f>
        <v>12539.50525</v>
      </c>
      <c r="H3" s="167" t="s">
        <v>10</v>
      </c>
      <c r="K3" s="228" t="s">
        <v>455</v>
      </c>
      <c r="L3" s="204" t="e">
        <f>(F3-E3)/E3</f>
        <v>#DIV/0!</v>
      </c>
      <c r="M3" s="204" t="e">
        <f>(G3-F3)/F3</f>
        <v>#DIV/0!</v>
      </c>
    </row>
    <row r="4" spans="1:13" x14ac:dyDescent="0.2">
      <c r="A4" s="176"/>
      <c r="B4" s="176"/>
      <c r="C4" s="179"/>
      <c r="D4" s="252"/>
      <c r="E4" s="170"/>
      <c r="F4" s="170"/>
      <c r="G4" s="170">
        <f>'L-Batt Chiefs (rep)'!G4*1.065</f>
        <v>150474.06299999999</v>
      </c>
      <c r="H4" s="167" t="s">
        <v>520</v>
      </c>
      <c r="K4" s="228" t="s">
        <v>456</v>
      </c>
      <c r="L4" s="204" t="e">
        <f>(G3-E3)/E3</f>
        <v>#DIV/0!</v>
      </c>
    </row>
    <row r="5" spans="1:13" x14ac:dyDescent="0.2">
      <c r="A5" s="176"/>
      <c r="B5" s="176"/>
      <c r="C5" s="176"/>
      <c r="D5" s="167"/>
      <c r="E5" s="166"/>
      <c r="F5" s="166"/>
      <c r="G5" s="166">
        <f>G4/2080</f>
        <v>72.343299519230769</v>
      </c>
      <c r="H5" s="167" t="s">
        <v>11</v>
      </c>
    </row>
    <row r="6" spans="1:13" ht="35.1" customHeight="1" x14ac:dyDescent="0.2">
      <c r="A6" s="246"/>
      <c r="B6" s="246"/>
      <c r="C6" s="246"/>
      <c r="D6" s="246"/>
      <c r="E6" s="246"/>
      <c r="F6" s="246"/>
      <c r="G6" s="170"/>
      <c r="H6" s="167"/>
    </row>
    <row r="7" spans="1:13" x14ac:dyDescent="0.2">
      <c r="A7" s="176"/>
      <c r="B7" s="176"/>
      <c r="C7" s="176"/>
      <c r="D7" s="167"/>
      <c r="E7" s="170"/>
      <c r="F7" s="170"/>
      <c r="G7" s="170"/>
      <c r="H7" s="167"/>
    </row>
    <row r="8" spans="1:13" x14ac:dyDescent="0.2">
      <c r="A8" s="176"/>
      <c r="B8" s="176"/>
      <c r="C8" s="176"/>
      <c r="D8" s="167"/>
      <c r="E8" s="170"/>
      <c r="F8" s="170"/>
      <c r="G8" s="170"/>
      <c r="H8" s="167"/>
    </row>
    <row r="9" spans="1:13" x14ac:dyDescent="0.2">
      <c r="A9" s="176"/>
      <c r="B9" s="176"/>
      <c r="C9" s="176"/>
      <c r="D9" s="167"/>
      <c r="E9" s="170"/>
      <c r="F9" s="170"/>
      <c r="G9" s="170"/>
      <c r="H9" s="167"/>
    </row>
    <row r="61" spans="9:9" x14ac:dyDescent="0.2">
      <c r="I61" s="437"/>
    </row>
    <row r="77" spans="9:9" x14ac:dyDescent="0.2">
      <c r="I77" s="437"/>
    </row>
    <row r="216" spans="9:9" x14ac:dyDescent="0.2">
      <c r="I216" s="437"/>
    </row>
  </sheetData>
  <customSheetViews>
    <customSheetView guid="{03674138-A9FA-46A6-AB09-A74C70852C0D}" showPageBreaks="1" printArea="1" view="pageLayout">
      <selection activeCell="H23" sqref="H23"/>
      <pageMargins left="0.25" right="0.25" top="1.93" bottom="1" header="0.5" footer="0.5"/>
      <printOptions horizontalCentered="1" gridLines="1"/>
      <pageSetup orientation="portrait" r:id="rId1"/>
      <headerFooter alignWithMargins="0">
        <oddHeader>&amp;L&amp;"Times New Roman,Regular"Ordinance # (budget adoption)
Resolution #8784 (contract adoption)&amp;C&amp;"Times New Roman,Bold"&amp;16
ATTACHMENT I
2016 CITY OF BELLEVUE PAY PLANS
INTERNATIONAL ASSOC OF FIREFIGHTERS UNION, LOCAL #1604 ADMIN FIRE BATTALION CHIEFS</oddHeader>
        <oddFooter>&amp;L&amp;"Times New Roman,Regular"* Position is exempt from overtime.&amp;C&amp;"Times New Roman,Bold"&amp;16&amp;A</oddFooter>
      </headerFooter>
    </customSheetView>
    <customSheetView guid="{6140C585-A678-4296-91B8-0C17DF653D09}" showPageBreaks="1" printArea="1" view="pageLayout">
      <selection sqref="A1:A2"/>
      <pageMargins left="0.25" right="0.25" top="1.93" bottom="1" header="0.5" footer="0.5"/>
      <printOptions horizontalCentered="1" gridLines="1"/>
      <pageSetup orientation="portrait" r:id="rId2"/>
      <headerFooter alignWithMargins="0">
        <oddHeader>&amp;LOrdinance # (budget adoption)
Resolution #8784 (contract adoption)&amp;C&amp;"Arial,Bold"&amp;16
2016 CITY OF BELLEVUE PAY PLANS
&amp;14INTERNATIONAL ASSOCIATION OF FIREFIGHTERS UNION, LOCAL #1604 ADMINISTRATIVE FIRE BATTALION CHIEFS</oddHeader>
        <oddFooter>&amp;L* Position is exempt from overtime.&amp;C&amp;"Arial,Bold"&amp;16&amp;A&amp;REffective 01/01/16
System Update 01/xx/16</oddFooter>
      </headerFooter>
    </customSheetView>
    <customSheetView guid="{49073133-97C6-4E81-BEFE-D9E658C173F7}" showPageBreaks="1" printArea="1" view="pageLayout">
      <selection sqref="A1:A2"/>
      <pageMargins left="0.25" right="0.25" top="1.93" bottom="1" header="0.5" footer="0.5"/>
      <printOptions horizontalCentered="1" gridLines="1"/>
      <pageSetup orientation="portrait" r:id="rId3"/>
      <headerFooter alignWithMargins="0">
        <oddHeader>&amp;LOrdinance # (budget adoption)
Resolution #8784 (contract adoption)&amp;C&amp;"Arial,Bold"&amp;16
2016 CITY OF BELLEVUE PAY PLANS
&amp;14INTERNATIONAL ASSOCIATION OF FIREFIGHTERS UNION, LOCAL #1604 ADMINISTRATIVE FIRE BATTALION CHIEFS</oddHeader>
        <oddFooter>&amp;L* Position is exempt from overtime.&amp;C&amp;"Arial,Bold"&amp;16&amp;A&amp;REffective 01/01/16
System Update 01/xx/16</oddFooter>
      </headerFooter>
    </customSheetView>
  </customSheetViews>
  <mergeCells count="7">
    <mergeCell ref="F1:F2"/>
    <mergeCell ref="G1:G2"/>
    <mergeCell ref="A1:A2"/>
    <mergeCell ref="C1:C2"/>
    <mergeCell ref="D1:D2"/>
    <mergeCell ref="E1:E2"/>
    <mergeCell ref="B1:B2"/>
  </mergeCells>
  <phoneticPr fontId="7" type="noConversion"/>
  <printOptions horizontalCentered="1" gridLines="1"/>
  <pageMargins left="0.25" right="0.25" top="1.93" bottom="1" header="0.5" footer="0.5"/>
  <pageSetup orientation="portrait" r:id="rId4"/>
  <headerFooter alignWithMargins="0">
    <oddHeader>&amp;LOrdinance #  (pay plan adoption)
Resolution # 9453 (2017-20 CBA adoption)&amp;C&amp;"Times New Roman,Bold"&amp;14
2019 CITY OF BELLEVUE PAY PLANS
INTERNATIONAL ASSOCIATION OF FIREFIGHTERS UNION, LOCAL #1604 ADMINISTRATIVE FIRE BATTALION CHIEFS</oddHeader>
    <oddFooter>&amp;L&amp;"Times New Roman,Regular"* Position is exempt from overtime.&amp;C&amp;"Times New Roman,Bold"&amp;16&amp;A&amp;R&amp;"Times New Roman,Regular"Effective 01/01/19
System Update 01/xx/19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0">
    <tabColor rgb="FF92D050"/>
  </sheetPr>
  <dimension ref="A1:M216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5.7109375" style="186" customWidth="1"/>
    <col min="2" max="2" width="2.7109375" style="186" customWidth="1"/>
    <col min="3" max="3" width="8.28515625" style="186" customWidth="1"/>
    <col min="4" max="4" width="39.5703125" style="160" bestFit="1" customWidth="1"/>
    <col min="5" max="7" width="11.7109375" style="233" customWidth="1"/>
    <col min="8" max="8" width="11.5703125" style="160" bestFit="1" customWidth="1"/>
    <col min="9" max="10" width="9.140625" style="160"/>
    <col min="11" max="11" width="14" style="160" bestFit="1" customWidth="1"/>
    <col min="12" max="16384" width="9.140625" style="160"/>
  </cols>
  <sheetData>
    <row r="1" spans="1:13" s="174" customFormat="1" x14ac:dyDescent="0.2">
      <c r="A1" s="657" t="s">
        <v>550</v>
      </c>
      <c r="B1" s="659"/>
      <c r="C1" s="659" t="s">
        <v>0</v>
      </c>
      <c r="D1" s="659" t="s">
        <v>1</v>
      </c>
      <c r="E1" s="676" t="s">
        <v>376</v>
      </c>
      <c r="F1" s="676" t="s">
        <v>378</v>
      </c>
      <c r="G1" s="676" t="s">
        <v>377</v>
      </c>
      <c r="H1" s="305">
        <v>2019</v>
      </c>
      <c r="K1" s="283">
        <v>2019</v>
      </c>
      <c r="L1" s="556">
        <v>1.0324</v>
      </c>
      <c r="M1" s="225"/>
    </row>
    <row r="2" spans="1:13" s="177" customFormat="1" x14ac:dyDescent="0.2">
      <c r="A2" s="658"/>
      <c r="B2" s="658"/>
      <c r="C2" s="658"/>
      <c r="D2" s="660"/>
      <c r="E2" s="677"/>
      <c r="F2" s="677"/>
      <c r="G2" s="677"/>
      <c r="H2" s="304"/>
      <c r="K2" s="293"/>
      <c r="L2" s="297" t="s">
        <v>461</v>
      </c>
      <c r="M2" s="297" t="s">
        <v>462</v>
      </c>
    </row>
    <row r="3" spans="1:13" x14ac:dyDescent="0.2">
      <c r="A3" s="186" t="s">
        <v>838</v>
      </c>
      <c r="B3" s="186" t="s">
        <v>88</v>
      </c>
      <c r="C3" s="186" t="s">
        <v>854</v>
      </c>
      <c r="D3" s="231" t="s">
        <v>35</v>
      </c>
      <c r="E3" s="238">
        <f>E4/12</f>
        <v>10180.924166666666</v>
      </c>
      <c r="F3" s="238">
        <f>F4/12</f>
        <v>10810.824166666667</v>
      </c>
      <c r="G3" s="238">
        <f>G4/12</f>
        <v>11440.724166666667</v>
      </c>
      <c r="H3" s="160" t="s">
        <v>10</v>
      </c>
      <c r="K3" s="228" t="s">
        <v>455</v>
      </c>
      <c r="L3" s="204">
        <f>(F3-E3)/E3</f>
        <v>6.1870611124121247E-2</v>
      </c>
      <c r="M3" s="204">
        <f>(G3-F3)/F3</f>
        <v>5.8265678017610248E-2</v>
      </c>
    </row>
    <row r="4" spans="1:13" x14ac:dyDescent="0.2">
      <c r="E4" s="170">
        <f>ROUND(118336.972*$L$1,2)</f>
        <v>122171.09</v>
      </c>
      <c r="F4" s="170">
        <f>(E4+G4)/2</f>
        <v>129729.89</v>
      </c>
      <c r="G4" s="170">
        <f>ROUND(132980.131*$L$1,2)</f>
        <v>137288.69</v>
      </c>
      <c r="H4" s="160" t="s">
        <v>520</v>
      </c>
      <c r="K4" s="228" t="s">
        <v>456</v>
      </c>
      <c r="L4" s="204">
        <f>(G3-E3)/E3</f>
        <v>0.12374122224824231</v>
      </c>
    </row>
    <row r="5" spans="1:13" x14ac:dyDescent="0.2">
      <c r="E5" s="166">
        <f>E4/2080</f>
        <v>58.736100961538462</v>
      </c>
      <c r="F5" s="166">
        <f>F4/2080</f>
        <v>62.370139423076921</v>
      </c>
      <c r="G5" s="166">
        <f>G4/2080</f>
        <v>66.004177884615387</v>
      </c>
      <c r="H5" s="160" t="s">
        <v>11</v>
      </c>
    </row>
    <row r="6" spans="1:13" ht="35.1" customHeight="1" x14ac:dyDescent="0.2">
      <c r="C6" s="188"/>
    </row>
    <row r="61" spans="9:9" x14ac:dyDescent="0.2">
      <c r="I61" s="437"/>
    </row>
    <row r="77" spans="9:9" x14ac:dyDescent="0.2">
      <c r="I77" s="437"/>
    </row>
    <row r="216" spans="9:9" x14ac:dyDescent="0.2">
      <c r="I216" s="437"/>
    </row>
  </sheetData>
  <customSheetViews>
    <customSheetView guid="{03674138-A9FA-46A6-AB09-A74C70852C0D}" showPageBreaks="1" printArea="1" view="pageLayout">
      <selection activeCell="D13" sqref="D13"/>
      <pageMargins left="0.25" right="0.25" top="1.75" bottom="1" header="0.5" footer="0.5"/>
      <printOptions horizontalCentered="1" gridLines="1"/>
      <pageSetup orientation="portrait" r:id="rId1"/>
      <headerFooter alignWithMargins="0">
        <oddHeader>&amp;L&amp;"Times New Roman,Regular"Ordinance #  (budget adoption)&amp;C&amp;"Times New Roman,Bold"&amp;16ATTACHMENT I
2016 CITY OF BELLEVUE PAY PLANS
NON-AFFILIATED
FIRE MARSHAL</oddHeader>
        <oddFooter>&amp;L&amp;"Times New Roman,Regular"* Position is exempt from overtime.&amp;C&amp;"Times New Roman,Bold"&amp;16&amp;A</oddFooter>
      </headerFooter>
    </customSheetView>
    <customSheetView guid="{6140C585-A678-4296-91B8-0C17DF653D09}" showPageBreaks="1" printArea="1" view="pageLayout">
      <selection sqref="A1:A2"/>
      <pageMargins left="0.25" right="0.25" top="1.75" bottom="1" header="0.5" footer="0.5"/>
      <printOptions horizontalCentered="1" gridLines="1"/>
      <pageSetup orientation="portrait" r:id="rId2"/>
      <headerFooter alignWithMargins="0">
        <oddHeader>&amp;LOrdinance #  (budget adoption)&amp;C&amp;"Arial,Bold"&amp;16
2016 CITY OF BELLEVUE PAY PLANS
&amp;14NON-AFFILIATED
FIRE MARSHAL</oddHeader>
        <oddFooter>&amp;L* Position is exempt from overtime.&amp;C&amp;"Arial,Bold"&amp;16&amp;A&amp;REffective 01/01/15,
System Update 01/xx/15</oddFooter>
      </headerFooter>
    </customSheetView>
    <customSheetView guid="{49073133-97C6-4E81-BEFE-D9E658C173F7}" showPageBreaks="1" printArea="1" view="pageLayout">
      <selection sqref="A1:A2"/>
      <pageMargins left="0.25" right="0.25" top="1.75" bottom="1" header="0.5" footer="0.5"/>
      <printOptions horizontalCentered="1" gridLines="1"/>
      <pageSetup orientation="portrait" r:id="rId3"/>
      <headerFooter alignWithMargins="0">
        <oddHeader>&amp;LOrdinance #  (budget adoption)&amp;C&amp;"Arial,Bold"&amp;16
2016 CITY OF BELLEVUE PAY PLANS
&amp;14NON-AFFILIATED
FIRE MARSHAL</oddHeader>
        <oddFooter>&amp;L* Position is exempt from overtime.&amp;C&amp;"Arial,Bold"&amp;16&amp;A&amp;REffective 01/01/15,
System Update 01/xx/15</oddFooter>
      </headerFooter>
    </customSheetView>
  </customSheetViews>
  <mergeCells count="7">
    <mergeCell ref="F1:F2"/>
    <mergeCell ref="G1:G2"/>
    <mergeCell ref="A1:A2"/>
    <mergeCell ref="C1:C2"/>
    <mergeCell ref="D1:D2"/>
    <mergeCell ref="E1:E2"/>
    <mergeCell ref="B1:B2"/>
  </mergeCells>
  <phoneticPr fontId="7" type="noConversion"/>
  <printOptions horizontalCentered="1" gridLines="1"/>
  <pageMargins left="0.25" right="0.25" top="1.75" bottom="1" header="0.5" footer="0.5"/>
  <pageSetup orientation="portrait" r:id="rId4"/>
  <headerFooter alignWithMargins="0">
    <oddHeader>&amp;LOrdinance # (pay plan adoption)&amp;C&amp;"Times New Roman,Bold"&amp;14
2019 CITY OF BELLEVUE PAY PLANS
NON-AFFILIATED
FIRE MARSHAL</oddHeader>
    <oddFooter>&amp;L&amp;"Times New Roman,Regular"* Position is exempt from overtime.&amp;C&amp;"Times New Roman,Bold"&amp;16&amp;A&amp;R&amp;"Times New Roman,Regular"Effective 01/01/19
System Update 01/xx/19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1">
    <tabColor rgb="FF92D050"/>
  </sheetPr>
  <dimension ref="A1:O216"/>
  <sheetViews>
    <sheetView view="pageLayout" zoomScaleNormal="100" workbookViewId="0">
      <selection sqref="A1:A2"/>
    </sheetView>
  </sheetViews>
  <sheetFormatPr defaultColWidth="8.85546875" defaultRowHeight="12.75" x14ac:dyDescent="0.2"/>
  <cols>
    <col min="1" max="1" width="5" style="323" customWidth="1"/>
    <col min="2" max="2" width="2.7109375" style="323" customWidth="1"/>
    <col min="3" max="3" width="7.42578125" style="323" customWidth="1"/>
    <col min="4" max="4" width="36.85546875" style="322" customWidth="1"/>
    <col min="5" max="5" width="11.28515625" style="325" bestFit="1" customWidth="1"/>
    <col min="6" max="6" width="10.7109375" style="325" customWidth="1"/>
    <col min="7" max="8" width="12.5703125" style="325" customWidth="1"/>
    <col min="9" max="11" width="10.7109375" style="325" customWidth="1"/>
    <col min="12" max="12" width="17" style="322" bestFit="1" customWidth="1"/>
    <col min="13" max="16384" width="8.85546875" style="322"/>
  </cols>
  <sheetData>
    <row r="1" spans="1:15" s="314" customFormat="1" x14ac:dyDescent="0.2">
      <c r="A1" s="711" t="s">
        <v>550</v>
      </c>
      <c r="B1" s="667"/>
      <c r="C1" s="667" t="s">
        <v>0</v>
      </c>
      <c r="D1" s="667" t="s">
        <v>1</v>
      </c>
      <c r="E1" s="662" t="s">
        <v>2</v>
      </c>
      <c r="F1" s="662"/>
      <c r="G1" s="662"/>
      <c r="H1" s="391"/>
      <c r="I1" s="346">
        <v>2019</v>
      </c>
      <c r="J1" s="333"/>
      <c r="K1" s="333"/>
      <c r="L1" s="334">
        <v>2019</v>
      </c>
      <c r="M1" s="662" t="s">
        <v>2</v>
      </c>
      <c r="N1" s="662"/>
      <c r="O1" s="193"/>
    </row>
    <row r="2" spans="1:15" s="315" customFormat="1" x14ac:dyDescent="0.2">
      <c r="A2" s="668"/>
      <c r="B2" s="668"/>
      <c r="C2" s="668"/>
      <c r="D2" s="669"/>
      <c r="E2" s="326" t="s">
        <v>574</v>
      </c>
      <c r="F2" s="326" t="s">
        <v>573</v>
      </c>
      <c r="G2" s="326" t="s">
        <v>820</v>
      </c>
      <c r="H2" s="326" t="s">
        <v>996</v>
      </c>
      <c r="I2" s="326"/>
      <c r="J2" s="326"/>
      <c r="K2" s="326"/>
      <c r="L2" s="425">
        <v>1.0399</v>
      </c>
      <c r="M2" s="326" t="s">
        <v>821</v>
      </c>
      <c r="N2" s="326" t="s">
        <v>822</v>
      </c>
      <c r="O2" s="389" t="s">
        <v>997</v>
      </c>
    </row>
    <row r="3" spans="1:15" s="317" customFormat="1" x14ac:dyDescent="0.2">
      <c r="A3" s="388" t="s">
        <v>998</v>
      </c>
      <c r="B3" s="388" t="s">
        <v>88</v>
      </c>
      <c r="C3" s="273" t="s">
        <v>999</v>
      </c>
      <c r="D3" s="270" t="s">
        <v>995</v>
      </c>
      <c r="E3" s="328">
        <f>ROUND(7952.981*$L$2,2)</f>
        <v>8270.2999999999993</v>
      </c>
      <c r="F3" s="328">
        <f>ROUND(8350.63*$L$2,2)</f>
        <v>8683.82</v>
      </c>
      <c r="G3" s="328">
        <f>ROUND(8768.161*$L$2,2)</f>
        <v>9118.01</v>
      </c>
      <c r="H3" s="328">
        <f>ROUND(9206.569*$L$2,2)</f>
        <v>9573.91</v>
      </c>
      <c r="I3" s="270" t="s">
        <v>10</v>
      </c>
      <c r="J3" s="335"/>
      <c r="K3" s="335"/>
      <c r="L3" s="271" t="s">
        <v>455</v>
      </c>
      <c r="M3" s="183">
        <f>(F3-E3)/E3</f>
        <v>5.0000604572990152E-2</v>
      </c>
      <c r="N3" s="183">
        <f>(G3-F3)/F3</f>
        <v>4.999988484330635E-2</v>
      </c>
      <c r="O3" s="183">
        <f>(H3-G3)/G3</f>
        <v>4.9999945163473128E-2</v>
      </c>
    </row>
    <row r="4" spans="1:15" s="317" customFormat="1" x14ac:dyDescent="0.2">
      <c r="A4" s="388"/>
      <c r="B4" s="388"/>
      <c r="C4" s="388"/>
      <c r="D4" s="270"/>
      <c r="E4" s="328">
        <f>E3*12</f>
        <v>99243.599999999991</v>
      </c>
      <c r="F4" s="328">
        <f>F3*12</f>
        <v>104205.84</v>
      </c>
      <c r="G4" s="328">
        <f>G3*12</f>
        <v>109416.12</v>
      </c>
      <c r="H4" s="328">
        <f>H3*12</f>
        <v>114886.92</v>
      </c>
      <c r="I4" s="270" t="s">
        <v>520</v>
      </c>
      <c r="J4" s="335"/>
      <c r="K4" s="335"/>
      <c r="L4" s="271" t="s">
        <v>456</v>
      </c>
      <c r="M4" s="183">
        <f>(H3-E3)/H3</f>
        <v>0.13616275899815233</v>
      </c>
      <c r="N4" s="270"/>
      <c r="O4" s="270"/>
    </row>
    <row r="5" spans="1:15" s="317" customFormat="1" x14ac:dyDescent="0.2">
      <c r="A5" s="388"/>
      <c r="B5" s="388"/>
      <c r="C5" s="388"/>
      <c r="D5" s="270"/>
      <c r="E5" s="328">
        <f>E4/2080</f>
        <v>47.713269230769228</v>
      </c>
      <c r="F5" s="328">
        <f>F4/2080</f>
        <v>50.098961538461538</v>
      </c>
      <c r="G5" s="328">
        <f>G4/2080</f>
        <v>52.603903846153841</v>
      </c>
      <c r="H5" s="328">
        <f>H4/2080</f>
        <v>55.234096153846153</v>
      </c>
      <c r="I5" s="270" t="s">
        <v>11</v>
      </c>
      <c r="J5" s="335"/>
      <c r="K5" s="335"/>
      <c r="L5" s="271" t="s">
        <v>457</v>
      </c>
      <c r="M5" s="183"/>
      <c r="N5" s="183"/>
      <c r="O5" s="270"/>
    </row>
    <row r="6" spans="1:15" s="317" customFormat="1" ht="35.1" customHeight="1" x14ac:dyDescent="0.2">
      <c r="A6" s="388"/>
      <c r="B6" s="388"/>
      <c r="C6" s="388"/>
      <c r="D6" s="394"/>
      <c r="E6" s="328"/>
      <c r="F6" s="328"/>
      <c r="G6" s="328"/>
      <c r="H6" s="328"/>
      <c r="I6" s="270"/>
      <c r="J6" s="336"/>
      <c r="K6" s="336"/>
      <c r="L6" s="270"/>
      <c r="M6" s="270"/>
      <c r="N6" s="270"/>
      <c r="O6" s="270"/>
    </row>
    <row r="7" spans="1:15" s="317" customFormat="1" x14ac:dyDescent="0.2">
      <c r="A7" s="388"/>
      <c r="B7" s="388"/>
      <c r="C7" s="273"/>
      <c r="D7" s="270"/>
      <c r="E7" s="328"/>
      <c r="F7" s="328"/>
      <c r="G7" s="328"/>
      <c r="H7" s="328"/>
      <c r="I7" s="270"/>
      <c r="J7" s="336"/>
      <c r="K7" s="336"/>
      <c r="L7" s="271"/>
      <c r="M7" s="183"/>
      <c r="N7" s="183"/>
      <c r="O7" s="270"/>
    </row>
    <row r="8" spans="1:15" s="317" customFormat="1" x14ac:dyDescent="0.2">
      <c r="A8" s="388"/>
      <c r="B8" s="388"/>
      <c r="C8" s="273"/>
      <c r="D8" s="270"/>
      <c r="E8" s="328"/>
      <c r="F8" s="328"/>
      <c r="G8" s="328"/>
      <c r="H8" s="328"/>
      <c r="I8" s="270"/>
      <c r="J8" s="336"/>
      <c r="K8" s="336"/>
      <c r="L8" s="271"/>
      <c r="M8" s="183"/>
      <c r="N8" s="270"/>
      <c r="O8" s="270"/>
    </row>
    <row r="9" spans="1:15" s="317" customFormat="1" x14ac:dyDescent="0.2">
      <c r="A9" s="388"/>
      <c r="B9" s="388"/>
      <c r="C9" s="273"/>
      <c r="D9" s="270"/>
      <c r="E9" s="328"/>
      <c r="F9" s="328"/>
      <c r="G9" s="328"/>
      <c r="H9" s="328"/>
      <c r="I9" s="270"/>
      <c r="J9" s="336"/>
      <c r="K9" s="336"/>
      <c r="L9" s="271"/>
      <c r="M9" s="183"/>
      <c r="N9" s="183"/>
      <c r="O9" s="183"/>
    </row>
    <row r="10" spans="1:15" s="317" customFormat="1" ht="35.1" customHeight="1" x14ac:dyDescent="0.2">
      <c r="A10" s="388"/>
      <c r="B10" s="388"/>
      <c r="C10" s="388"/>
      <c r="D10" s="40"/>
      <c r="E10" s="328"/>
      <c r="F10" s="328"/>
      <c r="G10" s="328"/>
      <c r="H10" s="328"/>
      <c r="I10" s="270"/>
      <c r="J10" s="336"/>
      <c r="K10" s="336"/>
      <c r="L10" s="270"/>
      <c r="M10" s="270"/>
      <c r="N10" s="270"/>
      <c r="O10" s="270"/>
    </row>
    <row r="11" spans="1:15" s="317" customFormat="1" x14ac:dyDescent="0.2">
      <c r="A11" s="388"/>
      <c r="B11" s="388"/>
      <c r="C11" s="273"/>
      <c r="D11" s="270"/>
      <c r="E11" s="328"/>
      <c r="F11" s="328"/>
      <c r="G11" s="328"/>
      <c r="H11" s="328"/>
      <c r="I11" s="270"/>
      <c r="J11" s="336"/>
      <c r="K11" s="336"/>
      <c r="L11" s="271"/>
      <c r="M11" s="183"/>
      <c r="N11" s="183"/>
      <c r="O11" s="270"/>
    </row>
    <row r="12" spans="1:15" s="317" customFormat="1" x14ac:dyDescent="0.2">
      <c r="A12" s="388"/>
      <c r="B12" s="388"/>
      <c r="C12" s="273"/>
      <c r="D12" s="270"/>
      <c r="E12" s="328"/>
      <c r="F12" s="328"/>
      <c r="G12" s="328"/>
      <c r="H12" s="328"/>
      <c r="I12" s="270"/>
      <c r="J12" s="336"/>
      <c r="K12" s="336"/>
      <c r="L12" s="271"/>
      <c r="M12" s="183"/>
      <c r="N12" s="270"/>
      <c r="O12" s="270"/>
    </row>
    <row r="13" spans="1:15" s="317" customFormat="1" x14ac:dyDescent="0.2">
      <c r="A13" s="388"/>
      <c r="B13" s="388"/>
      <c r="C13" s="273"/>
      <c r="D13" s="270"/>
      <c r="E13" s="328"/>
      <c r="F13" s="328"/>
      <c r="G13" s="328"/>
      <c r="H13" s="328"/>
      <c r="I13" s="270"/>
      <c r="J13" s="336"/>
      <c r="K13" s="336"/>
      <c r="L13" s="270"/>
      <c r="M13" s="270"/>
      <c r="N13" s="270"/>
      <c r="O13" s="270"/>
    </row>
    <row r="14" spans="1:15" s="317" customFormat="1" ht="35.1" customHeight="1" x14ac:dyDescent="0.25">
      <c r="A14" s="339"/>
      <c r="B14" s="339"/>
      <c r="C14" s="339"/>
      <c r="D14" s="339"/>
      <c r="E14" s="339"/>
      <c r="F14" s="339"/>
      <c r="G14" s="339"/>
      <c r="H14" s="339"/>
      <c r="I14" s="339"/>
      <c r="J14" s="336"/>
      <c r="K14" s="336"/>
      <c r="L14" s="270"/>
      <c r="M14" s="270"/>
      <c r="N14" s="270"/>
      <c r="O14" s="270"/>
    </row>
    <row r="15" spans="1:15" s="317" customFormat="1" ht="18.75" x14ac:dyDescent="0.3">
      <c r="A15" s="337"/>
      <c r="B15" s="338"/>
      <c r="C15" s="338"/>
      <c r="D15" s="388"/>
      <c r="E15" s="338"/>
      <c r="F15" s="338"/>
      <c r="G15" s="338"/>
      <c r="H15" s="338"/>
      <c r="I15" s="338"/>
      <c r="J15" s="338"/>
      <c r="K15" s="338"/>
      <c r="L15" s="270"/>
      <c r="M15" s="270"/>
      <c r="N15" s="270"/>
      <c r="O15" s="270"/>
    </row>
    <row r="16" spans="1:15" x14ac:dyDescent="0.2">
      <c r="A16" s="390"/>
      <c r="B16" s="390"/>
      <c r="C16" s="390"/>
      <c r="D16" s="209"/>
      <c r="E16" s="328"/>
      <c r="F16" s="328"/>
      <c r="G16" s="328"/>
      <c r="H16" s="328"/>
      <c r="I16" s="328"/>
      <c r="J16" s="328"/>
      <c r="K16" s="328"/>
      <c r="L16" s="209"/>
      <c r="M16" s="209"/>
      <c r="N16" s="209"/>
      <c r="O16" s="209"/>
    </row>
    <row r="17" spans="1:15" x14ac:dyDescent="0.2">
      <c r="A17" s="390"/>
      <c r="B17" s="390"/>
      <c r="C17" s="390"/>
      <c r="D17" s="209"/>
      <c r="E17" s="238"/>
      <c r="F17" s="328"/>
      <c r="G17" s="328"/>
      <c r="H17" s="328"/>
      <c r="I17" s="328"/>
      <c r="J17" s="328"/>
      <c r="K17" s="328"/>
      <c r="L17" s="209"/>
      <c r="M17" s="209"/>
      <c r="N17" s="209"/>
      <c r="O17" s="209"/>
    </row>
    <row r="18" spans="1:15" x14ac:dyDescent="0.2">
      <c r="E18" s="316"/>
      <c r="F18" s="316"/>
      <c r="G18" s="316"/>
      <c r="H18" s="316"/>
      <c r="I18" s="316"/>
      <c r="J18" s="316"/>
      <c r="K18" s="316"/>
    </row>
    <row r="19" spans="1:15" x14ac:dyDescent="0.2">
      <c r="E19" s="320"/>
      <c r="F19" s="320"/>
      <c r="G19" s="320"/>
      <c r="H19" s="320"/>
      <c r="I19" s="320"/>
      <c r="J19" s="320"/>
      <c r="K19" s="320"/>
    </row>
    <row r="61" spans="9:9" x14ac:dyDescent="0.2">
      <c r="I61" s="436"/>
    </row>
    <row r="77" spans="9:9" x14ac:dyDescent="0.2">
      <c r="I77" s="436"/>
    </row>
    <row r="216" spans="9:9" x14ac:dyDescent="0.2">
      <c r="I216" s="436"/>
    </row>
  </sheetData>
  <mergeCells count="6">
    <mergeCell ref="M1:N1"/>
    <mergeCell ref="A1:A2"/>
    <mergeCell ref="B1:B2"/>
    <mergeCell ref="C1:C2"/>
    <mergeCell ref="D1:D2"/>
    <mergeCell ref="E1:G1"/>
  </mergeCells>
  <printOptions horizontalCentered="1" gridLines="1"/>
  <pageMargins left="0.25" right="0.25" top="2" bottom="1" header="0.5" footer="0.5"/>
  <pageSetup scale="84" orientation="portrait" r:id="rId1"/>
  <headerFooter alignWithMargins="0">
    <oddHeader>&amp;LOrdinance # (pay plan adoption)
Resolution #9086 (2016-20 CBA adoption)&amp;C&amp;"Times New Roman,Bold"&amp;14
2019 CITY OF BELLEVUE PAY PLANS
TEAMSTERS UNION LOCAL NO 763
DSD BUILDING DIVISION
REVIEW AND INSPECTION SUPERVISORS</oddHeader>
    <oddFooter>&amp;L&amp;"Times New Roman,Regular"* Position is exempt from overtime.&amp;C&amp;"Arial,Bold"&amp;16&amp;A&amp;R&amp;"Times New Roman,Regular"Effective 01/01/19
System Update 01/xx/19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92D050"/>
  </sheetPr>
  <dimension ref="A1:V216"/>
  <sheetViews>
    <sheetView view="pageLayout" zoomScale="70" zoomScaleNormal="100" zoomScalePageLayoutView="70" workbookViewId="0">
      <selection sqref="A1:A2"/>
    </sheetView>
  </sheetViews>
  <sheetFormatPr defaultColWidth="8.85546875" defaultRowHeight="12.75" x14ac:dyDescent="0.2"/>
  <cols>
    <col min="1" max="1" width="5" style="319" customWidth="1"/>
    <col min="2" max="2" width="8.140625" style="323" customWidth="1"/>
    <col min="3" max="3" width="28.7109375" style="322" customWidth="1"/>
    <col min="4" max="10" width="10.7109375" style="325" customWidth="1"/>
    <col min="11" max="11" width="9.85546875" style="322" bestFit="1" customWidth="1"/>
    <col min="12" max="13" width="8.85546875" style="322"/>
    <col min="14" max="14" width="17" style="322" bestFit="1" customWidth="1"/>
    <col min="15" max="15" width="11.28515625" style="322" bestFit="1" customWidth="1"/>
    <col min="16" max="16384" width="8.85546875" style="322"/>
  </cols>
  <sheetData>
    <row r="1" spans="1:22" s="314" customFormat="1" ht="12.75" customHeight="1" x14ac:dyDescent="0.2">
      <c r="A1" s="665" t="s">
        <v>550</v>
      </c>
      <c r="B1" s="667" t="s">
        <v>0</v>
      </c>
      <c r="C1" s="667" t="s">
        <v>1</v>
      </c>
      <c r="D1" s="662" t="s">
        <v>1088</v>
      </c>
      <c r="E1" s="662"/>
      <c r="F1" s="662"/>
      <c r="G1" s="662"/>
      <c r="H1" s="662"/>
      <c r="I1" s="662"/>
      <c r="J1" s="662"/>
      <c r="K1" s="344">
        <v>2018</v>
      </c>
      <c r="L1" s="313"/>
      <c r="M1" s="314" t="s">
        <v>1016</v>
      </c>
      <c r="N1" s="175">
        <v>1.0269999999999999</v>
      </c>
      <c r="O1" s="661" t="s">
        <v>2</v>
      </c>
      <c r="P1" s="661"/>
      <c r="Q1" s="661"/>
      <c r="R1" s="661"/>
      <c r="S1" s="661"/>
      <c r="T1" s="661"/>
      <c r="U1" s="174"/>
      <c r="V1" s="174"/>
    </row>
    <row r="2" spans="1:22" s="315" customFormat="1" x14ac:dyDescent="0.2">
      <c r="A2" s="666"/>
      <c r="B2" s="668"/>
      <c r="C2" s="669"/>
      <c r="D2" s="326">
        <v>1</v>
      </c>
      <c r="E2" s="326">
        <v>2</v>
      </c>
      <c r="F2" s="326">
        <v>3</v>
      </c>
      <c r="G2" s="326">
        <v>4</v>
      </c>
      <c r="H2" s="326">
        <v>5</v>
      </c>
      <c r="I2" s="326">
        <v>6</v>
      </c>
      <c r="J2" s="326" t="s">
        <v>508</v>
      </c>
      <c r="K2" s="345"/>
      <c r="N2" s="396"/>
      <c r="O2" s="178" t="s">
        <v>450</v>
      </c>
      <c r="P2" s="178" t="s">
        <v>451</v>
      </c>
      <c r="Q2" s="178" t="s">
        <v>452</v>
      </c>
      <c r="R2" s="178" t="s">
        <v>453</v>
      </c>
      <c r="S2" s="178" t="s">
        <v>454</v>
      </c>
      <c r="T2" s="312">
        <v>6</v>
      </c>
      <c r="U2" s="303"/>
      <c r="V2" s="303"/>
    </row>
    <row r="3" spans="1:22" s="317" customFormat="1" x14ac:dyDescent="0.2">
      <c r="A3" s="273" t="s">
        <v>967</v>
      </c>
      <c r="B3" s="327" t="s">
        <v>968</v>
      </c>
      <c r="C3" s="663" t="s">
        <v>964</v>
      </c>
      <c r="D3" s="181">
        <f t="shared" ref="D3:I3" si="0">D4/12</f>
        <v>2591.4112986666664</v>
      </c>
      <c r="E3" s="181">
        <f t="shared" si="0"/>
        <v>2761.7558175999998</v>
      </c>
      <c r="F3" s="181">
        <f t="shared" si="0"/>
        <v>2946.5977423999993</v>
      </c>
      <c r="G3" s="181">
        <f t="shared" si="0"/>
        <v>3144.1248973333327</v>
      </c>
      <c r="H3" s="181">
        <f t="shared" si="0"/>
        <v>3350.7129309333327</v>
      </c>
      <c r="I3" s="181">
        <f t="shared" si="0"/>
        <v>3577.2348975999994</v>
      </c>
      <c r="J3" s="328"/>
      <c r="K3" s="270" t="s">
        <v>10</v>
      </c>
      <c r="N3" s="182" t="s">
        <v>455</v>
      </c>
      <c r="O3" s="183">
        <f>(E3-D3)/D3</f>
        <v>6.5734265734265745E-2</v>
      </c>
      <c r="P3" s="183">
        <f>(F3-E3)/E3</f>
        <v>6.6929133858267556E-2</v>
      </c>
      <c r="Q3" s="183">
        <f>(G3-F3)/F3</f>
        <v>6.7035670356703589E-2</v>
      </c>
      <c r="R3" s="183">
        <f>(H3-G3)/G3</f>
        <v>6.5706051873198862E-2</v>
      </c>
      <c r="S3" s="183">
        <f>(I3-H3)/H3</f>
        <v>6.7604110329908082E-2</v>
      </c>
      <c r="T3" s="167"/>
      <c r="U3" s="167"/>
      <c r="V3" s="167"/>
    </row>
    <row r="4" spans="1:22" s="317" customFormat="1" x14ac:dyDescent="0.2">
      <c r="A4" s="306"/>
      <c r="B4" s="273"/>
      <c r="C4" s="664"/>
      <c r="D4" s="328">
        <f t="shared" ref="D4:I4" si="1">D5*2080</f>
        <v>31096.935583999995</v>
      </c>
      <c r="E4" s="328">
        <f t="shared" si="1"/>
        <v>33141.069811199995</v>
      </c>
      <c r="F4" s="328">
        <f t="shared" si="1"/>
        <v>35359.172908799992</v>
      </c>
      <c r="G4" s="328">
        <f t="shared" si="1"/>
        <v>37729.49876799999</v>
      </c>
      <c r="H4" s="328">
        <f t="shared" si="1"/>
        <v>40208.555171199994</v>
      </c>
      <c r="I4" s="328">
        <f t="shared" si="1"/>
        <v>42926.818771199993</v>
      </c>
      <c r="J4" s="328"/>
      <c r="K4" s="269" t="s">
        <v>520</v>
      </c>
      <c r="N4" s="182" t="s">
        <v>456</v>
      </c>
      <c r="O4" s="183">
        <f>(I3-D3)/D3</f>
        <v>0.38041958041958029</v>
      </c>
      <c r="P4" s="167"/>
      <c r="Q4" s="167"/>
      <c r="R4" s="167"/>
      <c r="S4" s="167"/>
      <c r="T4" s="167"/>
      <c r="U4" s="167"/>
      <c r="V4" s="167"/>
    </row>
    <row r="5" spans="1:22" s="317" customFormat="1" x14ac:dyDescent="0.2">
      <c r="A5" s="306"/>
      <c r="B5" s="273"/>
      <c r="C5" s="270"/>
      <c r="D5" s="166">
        <f>'A- Maint (rep)'!D3</f>
        <v>14.950449799999998</v>
      </c>
      <c r="E5" s="166">
        <f>'A- Maint (rep)'!E3</f>
        <v>15.933206639999998</v>
      </c>
      <c r="F5" s="166">
        <f>'A- Maint (rep)'!F3</f>
        <v>16.999602359999997</v>
      </c>
      <c r="G5" s="166">
        <f>'A- Maint (rep)'!G3</f>
        <v>18.139182099999996</v>
      </c>
      <c r="H5" s="166">
        <f>'A- Maint (rep)'!H3</f>
        <v>19.331036139999998</v>
      </c>
      <c r="I5" s="166">
        <f>'A- Maint (rep)'!I3</f>
        <v>20.637893639999998</v>
      </c>
      <c r="J5" s="166"/>
      <c r="K5" s="270" t="s">
        <v>11</v>
      </c>
      <c r="N5" s="172" t="s">
        <v>457</v>
      </c>
      <c r="O5" s="183">
        <f t="shared" ref="O5:T5" si="2">(D7-D3)/D3</f>
        <v>0.2229579074771382</v>
      </c>
      <c r="P5" s="183">
        <f t="shared" si="2"/>
        <v>0.2069052846759539</v>
      </c>
      <c r="Q5" s="183">
        <f t="shared" si="2"/>
        <v>0.18994181095657131</v>
      </c>
      <c r="R5" s="183">
        <f t="shared" si="2"/>
        <v>0.19797495012192426</v>
      </c>
      <c r="S5" s="183">
        <f t="shared" si="2"/>
        <v>0.18315503182593518</v>
      </c>
      <c r="T5" s="183">
        <f t="shared" si="2"/>
        <v>0.16462795183539872</v>
      </c>
      <c r="U5" s="167"/>
      <c r="V5" s="167"/>
    </row>
    <row r="6" spans="1:22" s="317" customFormat="1" ht="18" customHeight="1" x14ac:dyDescent="0.2">
      <c r="A6" s="306"/>
      <c r="B6" s="306"/>
      <c r="C6" s="270"/>
      <c r="D6" s="166"/>
      <c r="E6" s="166"/>
      <c r="F6" s="166"/>
      <c r="G6" s="166"/>
      <c r="H6" s="166"/>
      <c r="I6" s="166"/>
      <c r="J6" s="328"/>
      <c r="K6" s="270"/>
      <c r="N6" s="167"/>
      <c r="O6" s="167"/>
      <c r="P6" s="167"/>
      <c r="Q6" s="167"/>
      <c r="R6" s="167"/>
      <c r="S6" s="167"/>
      <c r="T6" s="167"/>
      <c r="U6" s="167"/>
      <c r="V6" s="167"/>
    </row>
    <row r="7" spans="1:22" s="317" customFormat="1" x14ac:dyDescent="0.2">
      <c r="A7" s="273" t="s">
        <v>424</v>
      </c>
      <c r="B7" s="327" t="s">
        <v>303</v>
      </c>
      <c r="C7" s="269" t="s">
        <v>514</v>
      </c>
      <c r="D7" s="181">
        <f>3085.86849*$N$1</f>
        <v>3169.1869392299996</v>
      </c>
      <c r="E7" s="181">
        <f>3245.547898*$N$1</f>
        <v>3333.1776912459995</v>
      </c>
      <c r="F7" s="181">
        <f>3414.099176*$N$1</f>
        <v>3506.2798537519998</v>
      </c>
      <c r="G7" s="181">
        <f>3667.55878*$N$1</f>
        <v>3766.5828670599994</v>
      </c>
      <c r="H7" s="181">
        <f>3860.187794*$N$1</f>
        <v>3964.4128644379998</v>
      </c>
      <c r="I7" s="181">
        <f>4056.619038*$N$1</f>
        <v>4166.1477520259996</v>
      </c>
      <c r="J7" s="328"/>
      <c r="K7" s="270" t="s">
        <v>10</v>
      </c>
      <c r="N7" s="182" t="s">
        <v>455</v>
      </c>
      <c r="O7" s="183">
        <f>(E7-D7)/D7</f>
        <v>5.1745370393279463E-2</v>
      </c>
      <c r="P7" s="183">
        <f>(F7-E7)/E7</f>
        <v>5.1933073643395125E-2</v>
      </c>
      <c r="Q7" s="183">
        <f>(G7-F7)/F7</f>
        <v>7.4239086486338118E-2</v>
      </c>
      <c r="R7" s="183">
        <f>(H7-G7)/G7</f>
        <v>5.2522406743812401E-2</v>
      </c>
      <c r="S7" s="183">
        <f>(I7-H7)/H7</f>
        <v>5.0886447624470102E-2</v>
      </c>
      <c r="T7" s="167"/>
      <c r="U7" s="167"/>
      <c r="V7" s="167"/>
    </row>
    <row r="8" spans="1:22" s="317" customFormat="1" x14ac:dyDescent="0.2">
      <c r="A8" s="306"/>
      <c r="B8" s="273"/>
      <c r="C8" s="270"/>
      <c r="D8" s="328">
        <f t="shared" ref="D8:I8" si="3">D7*12</f>
        <v>38030.243270759995</v>
      </c>
      <c r="E8" s="328">
        <f t="shared" si="3"/>
        <v>39998.132294951996</v>
      </c>
      <c r="F8" s="328">
        <f t="shared" si="3"/>
        <v>42075.358245023999</v>
      </c>
      <c r="G8" s="328">
        <f t="shared" si="3"/>
        <v>45198.994404719997</v>
      </c>
      <c r="H8" s="328">
        <f t="shared" si="3"/>
        <v>47572.954373255998</v>
      </c>
      <c r="I8" s="328">
        <f t="shared" si="3"/>
        <v>49993.773024311995</v>
      </c>
      <c r="J8" s="328"/>
      <c r="K8" s="269" t="s">
        <v>520</v>
      </c>
      <c r="N8" s="182" t="s">
        <v>456</v>
      </c>
      <c r="O8" s="183">
        <f>(I7-D7)/D7</f>
        <v>0.31457936433318329</v>
      </c>
      <c r="P8" s="167"/>
      <c r="Q8" s="167"/>
      <c r="R8" s="167"/>
      <c r="S8" s="167"/>
      <c r="T8" s="167"/>
      <c r="U8" s="167"/>
      <c r="V8" s="167"/>
    </row>
    <row r="9" spans="1:22" s="317" customFormat="1" x14ac:dyDescent="0.2">
      <c r="A9" s="306"/>
      <c r="B9" s="273"/>
      <c r="C9" s="270"/>
      <c r="D9" s="166">
        <f t="shared" ref="D9:I9" si="4">D8/2080</f>
        <v>18.283770803249997</v>
      </c>
      <c r="E9" s="166">
        <f t="shared" si="4"/>
        <v>19.22987129565</v>
      </c>
      <c r="F9" s="166">
        <f t="shared" si="4"/>
        <v>20.228537617800001</v>
      </c>
      <c r="G9" s="166">
        <f t="shared" si="4"/>
        <v>21.7302857715</v>
      </c>
      <c r="H9" s="166">
        <f t="shared" si="4"/>
        <v>22.871612679449999</v>
      </c>
      <c r="I9" s="166">
        <f t="shared" si="4"/>
        <v>24.035467800149998</v>
      </c>
      <c r="J9" s="166"/>
      <c r="K9" s="270" t="s">
        <v>11</v>
      </c>
      <c r="N9" s="172" t="s">
        <v>457</v>
      </c>
      <c r="O9" s="183">
        <f t="shared" ref="O9:T9" si="5">(D11-D7)/D7</f>
        <v>-3.3335477624322723E-3</v>
      </c>
      <c r="P9" s="183">
        <f t="shared" si="5"/>
        <v>1.1241276710931562E-2</v>
      </c>
      <c r="Q9" s="183">
        <f t="shared" si="5"/>
        <v>2.5404931978265825E-2</v>
      </c>
      <c r="R9" s="183">
        <f t="shared" si="5"/>
        <v>1.8048450564528851E-2</v>
      </c>
      <c r="S9" s="183">
        <f t="shared" si="5"/>
        <v>3.1241849473606222E-2</v>
      </c>
      <c r="T9" s="183">
        <f t="shared" si="5"/>
        <v>4.6988069017027768E-2</v>
      </c>
      <c r="U9" s="167"/>
      <c r="V9" s="167"/>
    </row>
    <row r="10" spans="1:22" s="317" customFormat="1" ht="18" customHeight="1" x14ac:dyDescent="0.2">
      <c r="A10" s="306"/>
      <c r="B10" s="306"/>
      <c r="C10" s="270"/>
      <c r="D10" s="328"/>
      <c r="E10" s="328"/>
      <c r="F10" s="328"/>
      <c r="G10" s="328"/>
      <c r="H10" s="328"/>
      <c r="I10" s="328"/>
      <c r="J10" s="328"/>
      <c r="K10" s="270"/>
      <c r="N10" s="167"/>
      <c r="O10" s="167"/>
      <c r="P10" s="167"/>
      <c r="Q10" s="167"/>
      <c r="R10" s="167"/>
      <c r="S10" s="167"/>
      <c r="T10" s="167"/>
      <c r="U10" s="167"/>
      <c r="V10" s="167"/>
    </row>
    <row r="11" spans="1:22" s="317" customFormat="1" x14ac:dyDescent="0.2">
      <c r="A11" s="273" t="s">
        <v>969</v>
      </c>
      <c r="B11" s="327" t="s">
        <v>970</v>
      </c>
      <c r="C11" s="663" t="s">
        <v>965</v>
      </c>
      <c r="D11" s="181">
        <f t="shared" ref="D11:I11" si="6">D12/12</f>
        <v>3158.6223031999998</v>
      </c>
      <c r="E11" s="181">
        <f t="shared" si="6"/>
        <v>3370.6468639999998</v>
      </c>
      <c r="F11" s="181">
        <f t="shared" si="6"/>
        <v>3595.3566549333332</v>
      </c>
      <c r="G11" s="181">
        <f t="shared" si="6"/>
        <v>3834.5638517333332</v>
      </c>
      <c r="H11" s="181">
        <f t="shared" si="6"/>
        <v>4088.2684543999999</v>
      </c>
      <c r="I11" s="181">
        <f t="shared" si="6"/>
        <v>4361.9069901333323</v>
      </c>
      <c r="J11" s="328"/>
      <c r="K11" s="270" t="s">
        <v>10</v>
      </c>
      <c r="N11" s="182" t="s">
        <v>455</v>
      </c>
      <c r="O11" s="183">
        <f>(E11-D11)/D11</f>
        <v>6.7125645438898457E-2</v>
      </c>
      <c r="P11" s="183">
        <f>(F11-E11)/E11</f>
        <v>6.666666666666668E-2</v>
      </c>
      <c r="Q11" s="183">
        <f>(G11-F11)/F11</f>
        <v>6.6532258064516139E-2</v>
      </c>
      <c r="R11" s="183">
        <f>(H11-G11)/G11</f>
        <v>6.6162570888468816E-2</v>
      </c>
      <c r="S11" s="183">
        <f>(I11-H11)/H11</f>
        <v>6.6932624113474962E-2</v>
      </c>
      <c r="T11" s="167"/>
      <c r="U11" s="167"/>
      <c r="V11" s="167"/>
    </row>
    <row r="12" spans="1:22" s="317" customFormat="1" x14ac:dyDescent="0.2">
      <c r="A12" s="306"/>
      <c r="B12" s="273"/>
      <c r="C12" s="664"/>
      <c r="D12" s="328">
        <f t="shared" ref="D12:I12" si="7">D13*2080</f>
        <v>37903.467638399998</v>
      </c>
      <c r="E12" s="328">
        <f t="shared" si="7"/>
        <v>40447.762367999996</v>
      </c>
      <c r="F12" s="328">
        <f t="shared" si="7"/>
        <v>43144.279859199996</v>
      </c>
      <c r="G12" s="328">
        <f t="shared" si="7"/>
        <v>46014.766220799997</v>
      </c>
      <c r="H12" s="328">
        <f t="shared" si="7"/>
        <v>49059.221452799997</v>
      </c>
      <c r="I12" s="328">
        <f t="shared" si="7"/>
        <v>52342.883881599992</v>
      </c>
      <c r="J12" s="328"/>
      <c r="K12" s="269" t="s">
        <v>520</v>
      </c>
      <c r="N12" s="182" t="s">
        <v>456</v>
      </c>
      <c r="O12" s="183">
        <f>(I11-D11)/D11</f>
        <v>0.38095238095238071</v>
      </c>
      <c r="P12" s="167"/>
      <c r="Q12" s="167"/>
      <c r="R12" s="167"/>
      <c r="S12" s="167"/>
      <c r="T12" s="167"/>
      <c r="U12" s="167"/>
      <c r="V12" s="167"/>
    </row>
    <row r="13" spans="1:22" s="317" customFormat="1" x14ac:dyDescent="0.2">
      <c r="A13" s="306"/>
      <c r="B13" s="273"/>
      <c r="C13" s="270"/>
      <c r="D13" s="166">
        <f>'A- Maint (rep)'!D6</f>
        <v>18.222820979999998</v>
      </c>
      <c r="E13" s="166">
        <f>'A- Maint (rep)'!E6</f>
        <v>19.446039599999999</v>
      </c>
      <c r="F13" s="166">
        <f>'A- Maint (rep)'!F6</f>
        <v>20.742442239999999</v>
      </c>
      <c r="G13" s="166">
        <f>'A- Maint (rep)'!G6</f>
        <v>22.122483759999998</v>
      </c>
      <c r="H13" s="166">
        <f>'A- Maint (rep)'!H6</f>
        <v>23.586164159999999</v>
      </c>
      <c r="I13" s="166">
        <f>'A- Maint (rep)'!I6</f>
        <v>25.164848019999997</v>
      </c>
      <c r="J13" s="166"/>
      <c r="K13" s="270" t="s">
        <v>11</v>
      </c>
      <c r="N13" s="172" t="s">
        <v>457</v>
      </c>
      <c r="O13" s="183">
        <f t="shared" ref="O13:T13" si="8">(D15-D11)/D11</f>
        <v>0.10367933271547722</v>
      </c>
      <c r="P13" s="183">
        <f t="shared" si="8"/>
        <v>8.7772332506203476E-2</v>
      </c>
      <c r="Q13" s="183">
        <f t="shared" si="8"/>
        <v>7.2746878877171212E-2</v>
      </c>
      <c r="R13" s="183">
        <f t="shared" si="8"/>
        <v>8.0498673113275951E-2</v>
      </c>
      <c r="S13" s="183">
        <f t="shared" si="8"/>
        <v>6.667502045826515E-2</v>
      </c>
      <c r="T13" s="183">
        <f t="shared" si="8"/>
        <v>5.0632769806014721E-2</v>
      </c>
      <c r="U13" s="167"/>
      <c r="V13" s="167"/>
    </row>
    <row r="14" spans="1:22" s="317" customFormat="1" ht="18" customHeight="1" x14ac:dyDescent="0.2">
      <c r="A14" s="306"/>
      <c r="B14" s="306"/>
      <c r="C14" s="270"/>
      <c r="D14" s="328"/>
      <c r="E14" s="328"/>
      <c r="F14" s="328"/>
      <c r="G14" s="328"/>
      <c r="H14" s="328"/>
      <c r="I14" s="328"/>
      <c r="J14" s="328"/>
      <c r="K14" s="270"/>
      <c r="N14" s="167"/>
      <c r="O14" s="167"/>
      <c r="P14" s="167"/>
      <c r="Q14" s="167"/>
      <c r="R14" s="167"/>
      <c r="S14" s="167"/>
      <c r="T14" s="167"/>
      <c r="U14" s="167"/>
      <c r="V14" s="167"/>
    </row>
    <row r="15" spans="1:22" s="317" customFormat="1" x14ac:dyDescent="0.2">
      <c r="A15" s="273" t="s">
        <v>1008</v>
      </c>
      <c r="B15" s="327" t="s">
        <v>1007</v>
      </c>
      <c r="C15" s="663" t="s">
        <v>966</v>
      </c>
      <c r="D15" s="181">
        <f>3394.455848*$N$1</f>
        <v>3486.1061558959996</v>
      </c>
      <c r="E15" s="181">
        <f>3570.103604*$N$1</f>
        <v>3666.4964013079998</v>
      </c>
      <c r="F15" s="181">
        <f>3755.50889*$N$1</f>
        <v>3856.9076300299998</v>
      </c>
      <c r="G15" s="181">
        <f>4034.314658*$N$1</f>
        <v>4143.2411537659991</v>
      </c>
      <c r="H15" s="181">
        <f>4246.206268*$N$1</f>
        <v>4360.8538372359999</v>
      </c>
      <c r="I15" s="181">
        <f>4462.28084*$N$1</f>
        <v>4582.7624226799999</v>
      </c>
      <c r="J15" s="328"/>
      <c r="K15" s="270" t="s">
        <v>10</v>
      </c>
      <c r="N15" s="182" t="s">
        <v>455</v>
      </c>
      <c r="O15" s="183">
        <f>(E15-D15)/D15</f>
        <v>5.1745482594357864E-2</v>
      </c>
      <c r="P15" s="183">
        <f>(F15-E15)/E15</f>
        <v>5.1932746655382507E-2</v>
      </c>
      <c r="Q15" s="183">
        <f>(G15-F15)/F15</f>
        <v>7.4239144724804348E-2</v>
      </c>
      <c r="R15" s="183">
        <f>(H15-G15)/G15</f>
        <v>5.2522331043222459E-2</v>
      </c>
      <c r="S15" s="183">
        <f>(I15-H15)/H15</f>
        <v>5.0886499233060808E-2</v>
      </c>
      <c r="T15" s="167"/>
      <c r="U15" s="167"/>
      <c r="V15" s="167"/>
    </row>
    <row r="16" spans="1:22" s="317" customFormat="1" x14ac:dyDescent="0.2">
      <c r="A16" s="306"/>
      <c r="B16" s="273"/>
      <c r="C16" s="664"/>
      <c r="D16" s="328">
        <f>D15*12</f>
        <v>41833.273870751997</v>
      </c>
      <c r="E16" s="328">
        <f t="shared" ref="E16:I16" si="9">E15*12</f>
        <v>43997.956815696001</v>
      </c>
      <c r="F16" s="328">
        <f t="shared" si="9"/>
        <v>46282.891560359996</v>
      </c>
      <c r="G16" s="328">
        <f t="shared" si="9"/>
        <v>49718.893845191989</v>
      </c>
      <c r="H16" s="328">
        <f t="shared" si="9"/>
        <v>52330.246046831999</v>
      </c>
      <c r="I16" s="328">
        <f t="shared" si="9"/>
        <v>54993.149072159998</v>
      </c>
      <c r="J16" s="328"/>
      <c r="K16" s="269" t="s">
        <v>520</v>
      </c>
      <c r="N16" s="182" t="s">
        <v>456</v>
      </c>
      <c r="O16" s="183">
        <f>(I15-D15)/D15</f>
        <v>0.31457913722140729</v>
      </c>
      <c r="P16" s="167"/>
      <c r="Q16" s="167"/>
      <c r="R16" s="167"/>
      <c r="S16" s="167"/>
      <c r="T16" s="167"/>
      <c r="U16" s="167"/>
      <c r="V16" s="167"/>
    </row>
    <row r="17" spans="1:22" s="317" customFormat="1" x14ac:dyDescent="0.2">
      <c r="A17" s="306"/>
      <c r="B17" s="273"/>
      <c r="C17" s="270"/>
      <c r="D17" s="166">
        <f>D16/2080</f>
        <v>20.1121508994</v>
      </c>
      <c r="E17" s="166">
        <f t="shared" ref="E17:I17" si="10">E16/2080</f>
        <v>21.152863853700001</v>
      </c>
      <c r="F17" s="166">
        <f t="shared" si="10"/>
        <v>22.251390173249998</v>
      </c>
      <c r="G17" s="166">
        <f t="shared" si="10"/>
        <v>23.903314348649996</v>
      </c>
      <c r="H17" s="166">
        <f t="shared" si="10"/>
        <v>25.158772137899998</v>
      </c>
      <c r="I17" s="166">
        <f t="shared" si="10"/>
        <v>26.439013976999998</v>
      </c>
      <c r="J17" s="166"/>
      <c r="K17" s="270" t="s">
        <v>11</v>
      </c>
      <c r="N17" s="172" t="s">
        <v>457</v>
      </c>
      <c r="O17" s="183">
        <f t="shared" ref="O17:T17" si="11">(D19-D15)/D15</f>
        <v>0.14877718450736496</v>
      </c>
      <c r="P17" s="183">
        <f t="shared" si="11"/>
        <v>0.14692393279912216</v>
      </c>
      <c r="Q17" s="183">
        <f t="shared" si="11"/>
        <v>0.14463101483964264</v>
      </c>
      <c r="R17" s="183">
        <f t="shared" si="11"/>
        <v>0.11830109707818447</v>
      </c>
      <c r="S17" s="183">
        <f t="shared" si="11"/>
        <v>0.1156210577191864</v>
      </c>
      <c r="T17" s="183">
        <f t="shared" si="11"/>
        <v>9.7952265146986975E-2</v>
      </c>
      <c r="U17" s="167"/>
      <c r="V17" s="167"/>
    </row>
    <row r="18" spans="1:22" s="317" customFormat="1" ht="18" customHeight="1" x14ac:dyDescent="0.2">
      <c r="A18" s="306"/>
      <c r="B18" s="306"/>
      <c r="C18" s="270"/>
      <c r="D18" s="328"/>
      <c r="E18" s="328"/>
      <c r="F18" s="328"/>
      <c r="G18" s="328"/>
      <c r="H18" s="328"/>
      <c r="I18" s="328"/>
      <c r="J18" s="328"/>
      <c r="K18" s="270"/>
      <c r="N18" s="167"/>
      <c r="O18" s="167"/>
      <c r="P18" s="167"/>
      <c r="Q18" s="167"/>
      <c r="R18" s="167"/>
      <c r="S18" s="167"/>
      <c r="T18" s="167"/>
      <c r="U18" s="167"/>
      <c r="V18" s="167"/>
    </row>
    <row r="19" spans="1:22" s="317" customFormat="1" x14ac:dyDescent="0.2">
      <c r="A19" s="273" t="s">
        <v>425</v>
      </c>
      <c r="B19" s="327" t="s">
        <v>302</v>
      </c>
      <c r="C19" s="269" t="s">
        <v>483</v>
      </c>
      <c r="D19" s="181">
        <f>3899.473432*$N$1</f>
        <v>4004.7592146639995</v>
      </c>
      <c r="E19" s="181">
        <f>4094.637266*$N$1</f>
        <v>4205.1924721819996</v>
      </c>
      <c r="F19" s="181">
        <f>4298.671952*$N$1</f>
        <v>4414.7360947039997</v>
      </c>
      <c r="G19" s="181">
        <f>4511.578508*$N$1</f>
        <v>4633.3911277159996</v>
      </c>
      <c r="H19" s="181">
        <f>4737.157128*$N$1</f>
        <v>4865.060370455999</v>
      </c>
      <c r="I19" s="181">
        <f>4899.371356*$N$1</f>
        <v>5031.6543826119996</v>
      </c>
      <c r="J19" s="328"/>
      <c r="K19" s="270" t="s">
        <v>10</v>
      </c>
      <c r="N19" s="182" t="s">
        <v>455</v>
      </c>
      <c r="O19" s="183">
        <f>(E19-D19)/D19</f>
        <v>5.0048766174027398E-2</v>
      </c>
      <c r="P19" s="183">
        <f>(F19-E19)/E19</f>
        <v>4.9829734050977126E-2</v>
      </c>
      <c r="Q19" s="183">
        <f>(G19-F19)/F19</f>
        <v>4.9528449339090182E-2</v>
      </c>
      <c r="R19" s="183">
        <f>(H19-G19)/G19</f>
        <v>4.9999932307506115E-2</v>
      </c>
      <c r="S19" s="183">
        <f>(I19-H19)/H19</f>
        <v>3.4242948590663819E-2</v>
      </c>
      <c r="T19" s="167"/>
      <c r="U19" s="167"/>
      <c r="V19" s="167"/>
    </row>
    <row r="20" spans="1:22" s="317" customFormat="1" x14ac:dyDescent="0.2">
      <c r="A20" s="306"/>
      <c r="B20" s="273" t="s">
        <v>304</v>
      </c>
      <c r="C20" s="270" t="s">
        <v>3</v>
      </c>
      <c r="D20" s="328">
        <f t="shared" ref="D20:I20" si="12">D19*12</f>
        <v>48057.110575967992</v>
      </c>
      <c r="E20" s="328">
        <f t="shared" si="12"/>
        <v>50462.309666183995</v>
      </c>
      <c r="F20" s="328">
        <f t="shared" si="12"/>
        <v>52976.833136447996</v>
      </c>
      <c r="G20" s="328">
        <f t="shared" si="12"/>
        <v>55600.693532591991</v>
      </c>
      <c r="H20" s="328">
        <f t="shared" si="12"/>
        <v>58380.724445471991</v>
      </c>
      <c r="I20" s="328">
        <f t="shared" si="12"/>
        <v>60379.852591343995</v>
      </c>
      <c r="J20" s="328"/>
      <c r="K20" s="270" t="s">
        <v>520</v>
      </c>
      <c r="N20" s="182" t="s">
        <v>456</v>
      </c>
      <c r="O20" s="183">
        <f>(I19-D19)/D19</f>
        <v>0.25641870407286321</v>
      </c>
      <c r="P20" s="167"/>
      <c r="Q20" s="167"/>
      <c r="R20" s="167"/>
      <c r="S20" s="167"/>
      <c r="T20" s="167"/>
      <c r="U20" s="167"/>
      <c r="V20" s="167"/>
    </row>
    <row r="21" spans="1:22" s="317" customFormat="1" x14ac:dyDescent="0.2">
      <c r="A21" s="306"/>
      <c r="B21" s="273"/>
      <c r="C21" s="270"/>
      <c r="D21" s="166">
        <f t="shared" ref="D21:I21" si="13">D20/2080</f>
        <v>23.104380084599995</v>
      </c>
      <c r="E21" s="166">
        <f t="shared" si="13"/>
        <v>24.260725801049997</v>
      </c>
      <c r="F21" s="166">
        <f t="shared" si="13"/>
        <v>25.469631315599997</v>
      </c>
      <c r="G21" s="166">
        <f t="shared" si="13"/>
        <v>26.731102659899996</v>
      </c>
      <c r="H21" s="166">
        <f t="shared" si="13"/>
        <v>28.067655983399995</v>
      </c>
      <c r="I21" s="166">
        <f t="shared" si="13"/>
        <v>29.028775284299996</v>
      </c>
      <c r="J21" s="166"/>
      <c r="K21" s="270" t="s">
        <v>11</v>
      </c>
      <c r="N21" s="172" t="s">
        <v>457</v>
      </c>
      <c r="O21" s="183">
        <f t="shared" ref="O21:T21" si="14">(D23-D19)/D19</f>
        <v>9.7498410139188075E-3</v>
      </c>
      <c r="P21" s="183">
        <f t="shared" si="14"/>
        <v>9.5946608814944396E-3</v>
      </c>
      <c r="Q21" s="183">
        <f t="shared" si="14"/>
        <v>9.4340918434430293E-3</v>
      </c>
      <c r="R21" s="183">
        <f t="shared" si="14"/>
        <v>9.5505083029357399E-3</v>
      </c>
      <c r="S21" s="183">
        <f t="shared" si="14"/>
        <v>9.3632693198688714E-3</v>
      </c>
      <c r="T21" s="183">
        <f t="shared" si="14"/>
        <v>9.5706356168688694E-3</v>
      </c>
      <c r="U21" s="167"/>
      <c r="V21" s="167"/>
    </row>
    <row r="22" spans="1:22" s="317" customFormat="1" ht="18" customHeight="1" x14ac:dyDescent="0.2">
      <c r="A22" s="306"/>
      <c r="B22" s="306"/>
      <c r="C22" s="270"/>
      <c r="D22" s="328"/>
      <c r="E22" s="328"/>
      <c r="F22" s="328"/>
      <c r="G22" s="328"/>
      <c r="H22" s="328"/>
      <c r="I22" s="328"/>
      <c r="J22" s="328"/>
      <c r="K22" s="270"/>
      <c r="N22" s="167"/>
      <c r="O22" s="167"/>
      <c r="P22" s="167"/>
      <c r="Q22" s="167"/>
      <c r="R22" s="167"/>
      <c r="S22" s="167"/>
      <c r="T22" s="167"/>
      <c r="U22" s="167"/>
      <c r="V22" s="167"/>
    </row>
    <row r="23" spans="1:22" s="317" customFormat="1" x14ac:dyDescent="0.2">
      <c r="A23" s="306" t="s">
        <v>635</v>
      </c>
      <c r="B23" s="273" t="s">
        <v>305</v>
      </c>
      <c r="C23" s="270" t="s">
        <v>4</v>
      </c>
      <c r="D23" s="181">
        <f>3937.492678*$N$1</f>
        <v>4043.8049803059998</v>
      </c>
      <c r="E23" s="181">
        <f>4133.923922*$N$1</f>
        <v>4245.5398678939991</v>
      </c>
      <c r="F23" s="181">
        <f>4339.226018*$N$1</f>
        <v>4456.3851204860002</v>
      </c>
      <c r="G23" s="181">
        <f>4554.666376*$N$1</f>
        <v>4677.642368152</v>
      </c>
      <c r="H23" s="181">
        <f>4781.512406*$N$1</f>
        <v>4910.6132409619995</v>
      </c>
      <c r="I23" s="181">
        <f>4946.261454*$N$1</f>
        <v>5079.8105132580004</v>
      </c>
      <c r="J23" s="328"/>
      <c r="K23" s="270" t="s">
        <v>10</v>
      </c>
      <c r="N23" s="182" t="s">
        <v>455</v>
      </c>
      <c r="O23" s="183">
        <f>(E23-D23)/D23</f>
        <v>4.9887392831870388E-2</v>
      </c>
      <c r="P23" s="183">
        <f>(F23-E23)/E23</f>
        <v>4.9662765903218553E-2</v>
      </c>
      <c r="Q23" s="183">
        <f>(G23-F23)/F23</f>
        <v>4.9649489818301459E-2</v>
      </c>
      <c r="R23" s="183">
        <f>(H23-G23)/G23</f>
        <v>4.980519126391432E-2</v>
      </c>
      <c r="S23" s="183">
        <f>(I23-H23)/H23</f>
        <v>3.4455426235696529E-2</v>
      </c>
      <c r="T23" s="167"/>
      <c r="U23" s="167"/>
      <c r="V23" s="167"/>
    </row>
    <row r="24" spans="1:22" s="317" customFormat="1" x14ac:dyDescent="0.2">
      <c r="A24" s="306"/>
      <c r="B24" s="306"/>
      <c r="C24" s="270"/>
      <c r="D24" s="328">
        <f t="shared" ref="D24:I24" si="15">D23*12</f>
        <v>48525.659763671996</v>
      </c>
      <c r="E24" s="328">
        <f t="shared" si="15"/>
        <v>50946.478414727986</v>
      </c>
      <c r="F24" s="328">
        <f t="shared" si="15"/>
        <v>53476.621445832003</v>
      </c>
      <c r="G24" s="328">
        <f t="shared" si="15"/>
        <v>56131.708417824004</v>
      </c>
      <c r="H24" s="328">
        <f t="shared" si="15"/>
        <v>58927.35889154399</v>
      </c>
      <c r="I24" s="328">
        <f t="shared" si="15"/>
        <v>60957.726159096004</v>
      </c>
      <c r="J24" s="328"/>
      <c r="K24" s="270" t="s">
        <v>520</v>
      </c>
      <c r="N24" s="182" t="s">
        <v>456</v>
      </c>
      <c r="O24" s="183">
        <f>(I23-D23)/D23</f>
        <v>0.25619572110858935</v>
      </c>
      <c r="P24" s="167"/>
      <c r="Q24" s="167"/>
      <c r="R24" s="167"/>
      <c r="S24" s="167"/>
      <c r="T24" s="167"/>
      <c r="U24" s="167"/>
      <c r="V24" s="167"/>
    </row>
    <row r="25" spans="1:22" s="317" customFormat="1" x14ac:dyDescent="0.2">
      <c r="A25" s="306"/>
      <c r="B25" s="306"/>
      <c r="C25" s="270"/>
      <c r="D25" s="328">
        <f t="shared" ref="D25:I25" si="16">D24/2080</f>
        <v>23.329644117149996</v>
      </c>
      <c r="E25" s="328">
        <f t="shared" si="16"/>
        <v>24.493499237849992</v>
      </c>
      <c r="F25" s="328">
        <f t="shared" si="16"/>
        <v>25.709914156650001</v>
      </c>
      <c r="G25" s="328">
        <f t="shared" si="16"/>
        <v>26.986398277800003</v>
      </c>
      <c r="H25" s="328">
        <f t="shared" si="16"/>
        <v>28.330461005549996</v>
      </c>
      <c r="I25" s="328">
        <f t="shared" si="16"/>
        <v>29.306599114950004</v>
      </c>
      <c r="J25" s="328"/>
      <c r="K25" s="270" t="s">
        <v>11</v>
      </c>
      <c r="N25" s="172" t="s">
        <v>457</v>
      </c>
      <c r="O25" s="183">
        <f t="shared" ref="O25:T25" si="17">(D27-D23)/D23</f>
        <v>0.11336901792709823</v>
      </c>
      <c r="P25" s="183">
        <f t="shared" si="17"/>
        <v>0.11298813882719562</v>
      </c>
      <c r="Q25" s="183">
        <f t="shared" si="17"/>
        <v>0.11334584830561358</v>
      </c>
      <c r="R25" s="183">
        <f t="shared" si="17"/>
        <v>0.11402984304991377</v>
      </c>
      <c r="S25" s="183">
        <f t="shared" si="17"/>
        <v>0.1138851500869662</v>
      </c>
      <c r="T25" s="183">
        <f t="shared" si="17"/>
        <v>0.11388761294541933</v>
      </c>
      <c r="U25" s="167"/>
      <c r="V25" s="167"/>
    </row>
    <row r="26" spans="1:22" s="317" customFormat="1" ht="18" customHeight="1" x14ac:dyDescent="0.2">
      <c r="A26" s="306"/>
      <c r="B26" s="306"/>
      <c r="C26" s="270"/>
      <c r="D26" s="328"/>
      <c r="E26" s="328"/>
      <c r="F26" s="328"/>
      <c r="G26" s="328"/>
      <c r="H26" s="328"/>
      <c r="I26" s="328"/>
      <c r="J26" s="328"/>
      <c r="K26" s="270"/>
      <c r="N26" s="167"/>
      <c r="O26" s="167"/>
      <c r="P26" s="167"/>
      <c r="Q26" s="167"/>
      <c r="R26" s="167"/>
      <c r="S26" s="167"/>
      <c r="T26" s="167"/>
      <c r="U26" s="167"/>
      <c r="V26" s="167"/>
    </row>
    <row r="27" spans="1:22" s="317" customFormat="1" x14ac:dyDescent="0.2">
      <c r="A27" s="273" t="s">
        <v>426</v>
      </c>
      <c r="B27" s="273" t="s">
        <v>307</v>
      </c>
      <c r="C27" s="270" t="s">
        <v>5</v>
      </c>
      <c r="D27" s="181">
        <f>4383.882356*$N$1</f>
        <v>4502.2471796119999</v>
      </c>
      <c r="E27" s="181">
        <f>4601.008292*$N$1</f>
        <v>4725.2355158840001</v>
      </c>
      <c r="F27" s="181">
        <f>4831.059272*$N$1</f>
        <v>4961.4978723439999</v>
      </c>
      <c r="G27" s="181">
        <f>5074.034268*$N$1</f>
        <v>5211.0331932359995</v>
      </c>
      <c r="H27" s="181">
        <f>5326.055664*$N$1</f>
        <v>5469.8591669280004</v>
      </c>
      <c r="I27" s="181">
        <f>5509.579364*$N$1</f>
        <v>5658.3380068279994</v>
      </c>
      <c r="J27" s="329"/>
      <c r="K27" s="270" t="s">
        <v>10</v>
      </c>
      <c r="N27" s="182" t="s">
        <v>455</v>
      </c>
      <c r="O27" s="183">
        <f>(E27-D27)/D27</f>
        <v>4.9528230542690274E-2</v>
      </c>
      <c r="P27" s="183">
        <f>(F27-E27)/E27</f>
        <v>5.0000122886107563E-2</v>
      </c>
      <c r="Q27" s="183">
        <f>(G27-F27)/F27</f>
        <v>5.0294352091319078E-2</v>
      </c>
      <c r="R27" s="183">
        <f>(H27-G27)/G27</f>
        <v>4.9668839958256439E-2</v>
      </c>
      <c r="S27" s="183">
        <f>(I27-H27)/H27</f>
        <v>3.4457713470866763E-2</v>
      </c>
      <c r="T27" s="167"/>
      <c r="U27" s="167"/>
      <c r="V27" s="167"/>
    </row>
    <row r="28" spans="1:22" s="317" customFormat="1" x14ac:dyDescent="0.2">
      <c r="A28" s="306"/>
      <c r="B28" s="273" t="s">
        <v>308</v>
      </c>
      <c r="C28" s="270" t="s">
        <v>6</v>
      </c>
      <c r="D28" s="328">
        <f t="shared" ref="D28:I28" si="18">D27*12</f>
        <v>54026.966155343995</v>
      </c>
      <c r="E28" s="328">
        <f t="shared" si="18"/>
        <v>56702.826190608001</v>
      </c>
      <c r="F28" s="328">
        <f t="shared" si="18"/>
        <v>59537.974468127999</v>
      </c>
      <c r="G28" s="328">
        <f t="shared" si="18"/>
        <v>62532.398318831998</v>
      </c>
      <c r="H28" s="328">
        <f t="shared" si="18"/>
        <v>65638.310003136008</v>
      </c>
      <c r="I28" s="328">
        <f t="shared" si="18"/>
        <v>67900.056081935996</v>
      </c>
      <c r="J28" s="329"/>
      <c r="K28" s="270" t="s">
        <v>520</v>
      </c>
      <c r="N28" s="182" t="s">
        <v>456</v>
      </c>
      <c r="O28" s="183">
        <f>(I27-D27)/D27</f>
        <v>0.25678084323118627</v>
      </c>
      <c r="P28" s="167"/>
      <c r="Q28" s="167"/>
      <c r="R28" s="167"/>
      <c r="S28" s="167"/>
      <c r="T28" s="167"/>
      <c r="U28" s="167"/>
      <c r="V28" s="167"/>
    </row>
    <row r="29" spans="1:22" s="317" customFormat="1" x14ac:dyDescent="0.2">
      <c r="A29" s="306"/>
      <c r="B29" s="306"/>
      <c r="C29" s="270"/>
      <c r="D29" s="166">
        <f t="shared" ref="D29:I29" si="19">D28/2080</f>
        <v>25.974502959299997</v>
      </c>
      <c r="E29" s="166">
        <f t="shared" si="19"/>
        <v>27.260974130099999</v>
      </c>
      <c r="F29" s="166">
        <f t="shared" si="19"/>
        <v>28.624026186599998</v>
      </c>
      <c r="G29" s="166">
        <f t="shared" si="19"/>
        <v>30.0636530379</v>
      </c>
      <c r="H29" s="166">
        <f t="shared" si="19"/>
        <v>31.556879809200005</v>
      </c>
      <c r="I29" s="166">
        <f t="shared" si="19"/>
        <v>32.644257731700002</v>
      </c>
      <c r="J29" s="166"/>
      <c r="K29" s="270" t="s">
        <v>11</v>
      </c>
      <c r="N29" s="172" t="s">
        <v>457</v>
      </c>
      <c r="O29" s="183">
        <f t="shared" ref="O29:T29" si="20">(D31-D27)/D27</f>
        <v>2.2043246636776909E-4</v>
      </c>
      <c r="P29" s="183">
        <f t="shared" si="20"/>
        <v>6.7007095061308362E-4</v>
      </c>
      <c r="Q29" s="183">
        <f t="shared" si="20"/>
        <v>1.0241422680686242E-3</v>
      </c>
      <c r="R29" s="183">
        <f t="shared" si="20"/>
        <v>2.9400826269700045E-4</v>
      </c>
      <c r="S29" s="183">
        <f t="shared" si="20"/>
        <v>5.5012868524894547E-4</v>
      </c>
      <c r="T29" s="183">
        <f t="shared" si="20"/>
        <v>3.4432174847980588E-4</v>
      </c>
      <c r="U29" s="167"/>
      <c r="V29" s="167"/>
    </row>
    <row r="30" spans="1:22" s="317" customFormat="1" ht="18" customHeight="1" x14ac:dyDescent="0.2">
      <c r="A30" s="306"/>
      <c r="B30" s="306"/>
      <c r="C30" s="270"/>
      <c r="D30" s="328"/>
      <c r="E30" s="328"/>
      <c r="F30" s="328"/>
      <c r="G30" s="328"/>
      <c r="H30" s="328"/>
      <c r="I30" s="328"/>
      <c r="J30" s="328"/>
      <c r="K30" s="270"/>
      <c r="N30" s="167"/>
      <c r="O30" s="167"/>
      <c r="P30" s="167"/>
      <c r="Q30" s="167"/>
      <c r="R30" s="167"/>
      <c r="S30" s="167"/>
      <c r="T30" s="167"/>
      <c r="U30" s="167"/>
      <c r="V30" s="167"/>
    </row>
    <row r="31" spans="1:22" s="317" customFormat="1" x14ac:dyDescent="0.2">
      <c r="A31" s="273" t="s">
        <v>429</v>
      </c>
      <c r="B31" s="273" t="s">
        <v>309</v>
      </c>
      <c r="C31" s="269" t="s">
        <v>783</v>
      </c>
      <c r="D31" s="181">
        <f>4384.848706*$N$1</f>
        <v>4503.2396210619991</v>
      </c>
      <c r="E31" s="181">
        <f>4604.091294*$N$1</f>
        <v>4728.4017589379991</v>
      </c>
      <c r="F31" s="181">
        <f>4836.006964*$N$1</f>
        <v>4966.579152028</v>
      </c>
      <c r="G31" s="181">
        <f>5075.526076*$N$1</f>
        <v>5212.5652800519993</v>
      </c>
      <c r="H31" s="181">
        <f>5328.98568*$N$1</f>
        <v>5472.8682933599994</v>
      </c>
      <c r="I31" s="181">
        <f>5511.476432*$N$1</f>
        <v>5660.2862956640001</v>
      </c>
      <c r="J31" s="328"/>
      <c r="K31" s="270" t="s">
        <v>10</v>
      </c>
      <c r="N31" s="182" t="s">
        <v>455</v>
      </c>
      <c r="O31" s="183">
        <f>(E31-D31)/D31</f>
        <v>5.0000034824462684E-2</v>
      </c>
      <c r="P31" s="183">
        <f>(F31-E31)/E31</f>
        <v>5.0371648864181023E-2</v>
      </c>
      <c r="Q31" s="183">
        <f>(G31-F31)/F31</f>
        <v>4.9528281034956614E-2</v>
      </c>
      <c r="R31" s="183">
        <f>(H31-G31)/G31</f>
        <v>4.9937602566658579E-2</v>
      </c>
      <c r="S31" s="183">
        <f>(I31-H31)/H31</f>
        <v>3.4244931954855763E-2</v>
      </c>
      <c r="T31" s="167"/>
      <c r="U31" s="167"/>
      <c r="V31" s="167"/>
    </row>
    <row r="32" spans="1:22" s="317" customFormat="1" x14ac:dyDescent="0.2">
      <c r="A32" s="273"/>
      <c r="B32" s="273" t="s">
        <v>306</v>
      </c>
      <c r="C32" s="269" t="s">
        <v>784</v>
      </c>
      <c r="D32" s="328">
        <f t="shared" ref="D32:I32" si="21">D31*12</f>
        <v>54038.875452743989</v>
      </c>
      <c r="E32" s="328">
        <f t="shared" si="21"/>
        <v>56740.821107255993</v>
      </c>
      <c r="F32" s="328">
        <f t="shared" si="21"/>
        <v>59598.949824335999</v>
      </c>
      <c r="G32" s="328">
        <f t="shared" si="21"/>
        <v>62550.783360623987</v>
      </c>
      <c r="H32" s="328">
        <f t="shared" si="21"/>
        <v>65674.419520319992</v>
      </c>
      <c r="I32" s="328">
        <f t="shared" si="21"/>
        <v>67923.435547967994</v>
      </c>
      <c r="J32" s="328"/>
      <c r="K32" s="270" t="s">
        <v>520</v>
      </c>
      <c r="N32" s="182" t="s">
        <v>456</v>
      </c>
      <c r="O32" s="183">
        <f>(I31-D31)/D31</f>
        <v>0.25693651059348577</v>
      </c>
      <c r="P32" s="167"/>
      <c r="Q32" s="167"/>
      <c r="R32" s="167"/>
      <c r="S32" s="167"/>
      <c r="T32" s="167"/>
      <c r="U32" s="167"/>
      <c r="V32" s="167"/>
    </row>
    <row r="33" spans="1:22" s="317" customFormat="1" x14ac:dyDescent="0.2">
      <c r="A33" s="306"/>
      <c r="B33" s="273"/>
      <c r="C33" s="270"/>
      <c r="D33" s="166">
        <f t="shared" ref="D33:I33" si="22">D32/2080</f>
        <v>25.980228583049996</v>
      </c>
      <c r="E33" s="166">
        <f t="shared" si="22"/>
        <v>27.279240916949998</v>
      </c>
      <c r="F33" s="166">
        <f t="shared" si="22"/>
        <v>28.6533412617</v>
      </c>
      <c r="G33" s="166">
        <f t="shared" si="22"/>
        <v>30.072492000299995</v>
      </c>
      <c r="H33" s="166">
        <f t="shared" si="22"/>
        <v>31.574240153999995</v>
      </c>
      <c r="I33" s="166">
        <f t="shared" si="22"/>
        <v>32.655497859599997</v>
      </c>
      <c r="J33" s="166"/>
      <c r="K33" s="270" t="s">
        <v>11</v>
      </c>
      <c r="N33" s="172" t="s">
        <v>457</v>
      </c>
      <c r="O33" s="183">
        <f t="shared" ref="O33:T33" si="23">(D35-D31)/D31</f>
        <v>8.9595448860625163E-2</v>
      </c>
      <c r="P33" s="183">
        <f t="shared" si="23"/>
        <v>8.9733019095081523E-2</v>
      </c>
      <c r="Q33" s="183">
        <f t="shared" si="23"/>
        <v>8.9098448204798647E-2</v>
      </c>
      <c r="R33" s="183">
        <f t="shared" si="23"/>
        <v>8.9388184240707047E-2</v>
      </c>
      <c r="S33" s="183">
        <f t="shared" si="23"/>
        <v>8.9655113128395636E-2</v>
      </c>
      <c r="T33" s="183">
        <f t="shared" si="23"/>
        <v>9.0135544282773677E-2</v>
      </c>
      <c r="U33" s="167"/>
      <c r="V33" s="167"/>
    </row>
    <row r="34" spans="1:22" s="317" customFormat="1" ht="18" customHeight="1" x14ac:dyDescent="0.2">
      <c r="A34" s="306"/>
      <c r="B34" s="306"/>
      <c r="C34" s="270"/>
      <c r="D34" s="328"/>
      <c r="E34" s="328"/>
      <c r="F34" s="328"/>
      <c r="G34" s="328"/>
      <c r="H34" s="328"/>
      <c r="I34" s="328"/>
      <c r="J34" s="328"/>
      <c r="K34" s="270"/>
      <c r="N34" s="167"/>
      <c r="O34" s="167"/>
      <c r="P34" s="167"/>
      <c r="Q34" s="167"/>
      <c r="R34" s="167"/>
      <c r="S34" s="167"/>
      <c r="T34" s="167"/>
      <c r="U34" s="167"/>
      <c r="V34" s="167"/>
    </row>
    <row r="35" spans="1:22" s="317" customFormat="1" x14ac:dyDescent="0.2">
      <c r="A35" s="273" t="s">
        <v>427</v>
      </c>
      <c r="B35" s="273" t="s">
        <v>311</v>
      </c>
      <c r="C35" s="270" t="s">
        <v>7</v>
      </c>
      <c r="D35" s="181">
        <f>4777.711194*$N$1</f>
        <v>4906.7093962380004</v>
      </c>
      <c r="E35" s="181">
        <f>5017.230306*$N$1</f>
        <v>5152.6955242619997</v>
      </c>
      <c r="F35" s="181">
        <f>5266.88768*$N$1</f>
        <v>5409.0936473599995</v>
      </c>
      <c r="G35" s="181">
        <f>5529.218136*$N$1</f>
        <v>5678.5070256720001</v>
      </c>
      <c r="H35" s="181">
        <f>5806.756494*$N$1</f>
        <v>5963.5389193379997</v>
      </c>
      <c r="I35" s="181">
        <f>6008.25636*$N$1</f>
        <v>6170.4792817199996</v>
      </c>
      <c r="J35" s="328"/>
      <c r="K35" s="270" t="s">
        <v>10</v>
      </c>
      <c r="N35" s="182" t="s">
        <v>455</v>
      </c>
      <c r="O35" s="183">
        <f>(E35-D35)/D35</f>
        <v>5.0132605817780472E-2</v>
      </c>
      <c r="P35" s="183">
        <f>(F35-E35)/E35</f>
        <v>4.9759998798827282E-2</v>
      </c>
      <c r="Q35" s="183">
        <f>(G35-F35)/F35</f>
        <v>4.9807490103909058E-2</v>
      </c>
      <c r="R35" s="183">
        <f>(H35-G35)/G35</f>
        <v>5.0194865019519579E-2</v>
      </c>
      <c r="S35" s="183">
        <f>(I35-H35)/H35</f>
        <v>3.4700932647719167E-2</v>
      </c>
      <c r="T35" s="167"/>
      <c r="U35" s="167"/>
      <c r="V35" s="167"/>
    </row>
    <row r="36" spans="1:22" s="317" customFormat="1" x14ac:dyDescent="0.2">
      <c r="A36" s="306"/>
      <c r="B36" s="330" t="s">
        <v>312</v>
      </c>
      <c r="C36" s="269" t="s">
        <v>785</v>
      </c>
      <c r="D36" s="328">
        <f t="shared" ref="D36:I36" si="24">D35*12</f>
        <v>58880.512754856005</v>
      </c>
      <c r="E36" s="328">
        <f t="shared" si="24"/>
        <v>61832.346291144</v>
      </c>
      <c r="F36" s="328">
        <f t="shared" si="24"/>
        <v>64909.123768319994</v>
      </c>
      <c r="G36" s="328">
        <f t="shared" si="24"/>
        <v>68142.084308064004</v>
      </c>
      <c r="H36" s="328">
        <f t="shared" si="24"/>
        <v>71562.467032055996</v>
      </c>
      <c r="I36" s="328">
        <f t="shared" si="24"/>
        <v>74045.751380639995</v>
      </c>
      <c r="J36" s="328"/>
      <c r="K36" s="270" t="s">
        <v>520</v>
      </c>
      <c r="N36" s="182" t="s">
        <v>456</v>
      </c>
      <c r="O36" s="183">
        <f>(I35-D35)/D35</f>
        <v>0.25755955436263211</v>
      </c>
      <c r="P36" s="167"/>
      <c r="Q36" s="167"/>
      <c r="R36" s="167"/>
      <c r="S36" s="167"/>
      <c r="T36" s="167"/>
      <c r="U36" s="167"/>
      <c r="V36" s="167"/>
    </row>
    <row r="37" spans="1:22" s="317" customFormat="1" x14ac:dyDescent="0.2">
      <c r="A37" s="306"/>
      <c r="B37" s="273" t="s">
        <v>314</v>
      </c>
      <c r="C37" s="269" t="s">
        <v>484</v>
      </c>
      <c r="D37" s="166">
        <f t="shared" ref="D37:I37" si="25">D36/2080</f>
        <v>28.307938824450002</v>
      </c>
      <c r="E37" s="166">
        <f t="shared" si="25"/>
        <v>29.727089563050001</v>
      </c>
      <c r="F37" s="166">
        <f t="shared" si="25"/>
        <v>31.206309503999996</v>
      </c>
      <c r="G37" s="166">
        <f t="shared" si="25"/>
        <v>32.760617455800002</v>
      </c>
      <c r="H37" s="166">
        <f t="shared" si="25"/>
        <v>34.405032226949999</v>
      </c>
      <c r="I37" s="166">
        <f t="shared" si="25"/>
        <v>35.598918933</v>
      </c>
      <c r="J37" s="166"/>
      <c r="K37" s="270" t="s">
        <v>11</v>
      </c>
      <c r="N37" s="172" t="s">
        <v>457</v>
      </c>
      <c r="O37" s="183">
        <f t="shared" ref="O37:T37" si="26">(D39-D35)/D35</f>
        <v>1.3262499432693581E-2</v>
      </c>
      <c r="P37" s="183">
        <f t="shared" si="26"/>
        <v>1.2629356863332251E-2</v>
      </c>
      <c r="Q37" s="183">
        <f t="shared" si="26"/>
        <v>1.3233895658090085E-2</v>
      </c>
      <c r="R37" s="183">
        <f t="shared" si="26"/>
        <v>1.3064462320572744E-2</v>
      </c>
      <c r="S37" s="183">
        <f t="shared" si="26"/>
        <v>1.2876390473280173E-2</v>
      </c>
      <c r="T37" s="183">
        <f t="shared" si="26"/>
        <v>1.2655667042809033E-2</v>
      </c>
      <c r="U37" s="167"/>
      <c r="V37" s="167"/>
    </row>
    <row r="38" spans="1:22" s="317" customFormat="1" ht="18" customHeight="1" x14ac:dyDescent="0.2">
      <c r="A38" s="306"/>
      <c r="B38" s="306"/>
      <c r="C38" s="270"/>
      <c r="D38" s="328"/>
      <c r="E38" s="328"/>
      <c r="F38" s="328"/>
      <c r="G38" s="328"/>
      <c r="H38" s="328"/>
      <c r="I38" s="328"/>
      <c r="J38" s="328"/>
      <c r="K38" s="270"/>
      <c r="N38" s="167"/>
      <c r="O38" s="167"/>
      <c r="P38" s="167"/>
      <c r="Q38" s="167"/>
      <c r="R38" s="167"/>
      <c r="S38" s="167"/>
      <c r="T38" s="167"/>
      <c r="U38" s="167"/>
      <c r="V38" s="167"/>
    </row>
    <row r="39" spans="1:22" s="317" customFormat="1" x14ac:dyDescent="0.2">
      <c r="A39" s="306" t="s">
        <v>430</v>
      </c>
      <c r="B39" s="331" t="s">
        <v>310</v>
      </c>
      <c r="C39" s="269" t="s">
        <v>786</v>
      </c>
      <c r="D39" s="181">
        <f>4841.075586*$N$1</f>
        <v>4971.7846268219992</v>
      </c>
      <c r="E39" s="181">
        <f>5080.594698*$N$1</f>
        <v>5217.7707548459994</v>
      </c>
      <c r="F39" s="181">
        <f>5336.589122*$N$1</f>
        <v>5480.6770282939997</v>
      </c>
      <c r="G39" s="181">
        <f>5601.454398*$N$1</f>
        <v>5752.6936667459995</v>
      </c>
      <c r="H39" s="181">
        <f>5881.526558*$N$1</f>
        <v>6040.327775065999</v>
      </c>
      <c r="I39" s="181">
        <f>6084.294852*$N$1</f>
        <v>6248.5708130039993</v>
      </c>
      <c r="J39" s="328"/>
      <c r="K39" s="270" t="s">
        <v>10</v>
      </c>
      <c r="N39" s="182" t="s">
        <v>455</v>
      </c>
      <c r="O39" s="183">
        <f t="shared" ref="O39:T39" si="27">(E39-D39)/D39</f>
        <v>4.9476424762437132E-2</v>
      </c>
      <c r="P39" s="183">
        <f t="shared" si="27"/>
        <v>5.0386704552672495E-2</v>
      </c>
      <c r="Q39" s="183">
        <f t="shared" si="27"/>
        <v>4.9631940916735964E-2</v>
      </c>
      <c r="R39" s="183">
        <f t="shared" si="27"/>
        <v>4.9999900043817082E-2</v>
      </c>
      <c r="S39" s="183">
        <f t="shared" si="27"/>
        <v>3.4475453268879089E-2</v>
      </c>
      <c r="T39" s="183">
        <f t="shared" si="27"/>
        <v>-1</v>
      </c>
      <c r="U39" s="167"/>
      <c r="V39" s="167"/>
    </row>
    <row r="40" spans="1:22" s="317" customFormat="1" x14ac:dyDescent="0.2">
      <c r="A40" s="306"/>
      <c r="B40" s="273"/>
      <c r="C40" s="270"/>
      <c r="D40" s="328">
        <f t="shared" ref="D40:I40" si="28">D39*12</f>
        <v>59661.415521863993</v>
      </c>
      <c r="E40" s="328">
        <f t="shared" si="28"/>
        <v>62613.249058151996</v>
      </c>
      <c r="F40" s="328">
        <f t="shared" si="28"/>
        <v>65768.124339528003</v>
      </c>
      <c r="G40" s="328">
        <f t="shared" si="28"/>
        <v>69032.324000951994</v>
      </c>
      <c r="H40" s="328">
        <f t="shared" si="28"/>
        <v>72483.933300791992</v>
      </c>
      <c r="I40" s="328">
        <f t="shared" si="28"/>
        <v>74982.849756047988</v>
      </c>
      <c r="J40" s="328"/>
      <c r="K40" s="270" t="s">
        <v>520</v>
      </c>
      <c r="N40" s="182" t="s">
        <v>456</v>
      </c>
      <c r="O40" s="183">
        <f>(I39-D39)/D39</f>
        <v>0.25680641500316381</v>
      </c>
      <c r="P40" s="167"/>
      <c r="Q40" s="167"/>
      <c r="R40" s="167"/>
      <c r="S40" s="167"/>
      <c r="T40" s="167"/>
      <c r="U40" s="167"/>
      <c r="V40" s="167"/>
    </row>
    <row r="41" spans="1:22" s="317" customFormat="1" x14ac:dyDescent="0.2">
      <c r="A41" s="306"/>
      <c r="B41" s="306"/>
      <c r="C41" s="270"/>
      <c r="D41" s="166">
        <f t="shared" ref="D41:I41" si="29">D40/2080</f>
        <v>28.683372847049998</v>
      </c>
      <c r="E41" s="166">
        <f t="shared" si="29"/>
        <v>30.102523585649998</v>
      </c>
      <c r="F41" s="166">
        <f t="shared" si="29"/>
        <v>31.619290547850003</v>
      </c>
      <c r="G41" s="166">
        <f t="shared" si="29"/>
        <v>33.18861730815</v>
      </c>
      <c r="H41" s="166">
        <f t="shared" si="29"/>
        <v>34.848044856149997</v>
      </c>
      <c r="I41" s="166">
        <f t="shared" si="29"/>
        <v>36.049446998099995</v>
      </c>
      <c r="J41" s="166"/>
      <c r="K41" s="270" t="s">
        <v>11</v>
      </c>
      <c r="N41" s="172" t="s">
        <v>457</v>
      </c>
      <c r="O41" s="183">
        <f t="shared" ref="O41:T41" si="30">(D43-D39)/D39</f>
        <v>1.9895375374541981E-2</v>
      </c>
      <c r="P41" s="183">
        <f t="shared" si="30"/>
        <v>1.6961942276939382E-2</v>
      </c>
      <c r="Q41" s="183">
        <f t="shared" si="30"/>
        <v>1.6385587123340106E-2</v>
      </c>
      <c r="R41" s="183">
        <f t="shared" si="30"/>
        <v>1.7194462572861328E-2</v>
      </c>
      <c r="S41" s="183">
        <f t="shared" si="30"/>
        <v>1.7237813176597457E-2</v>
      </c>
      <c r="T41" s="183">
        <f t="shared" si="30"/>
        <v>1.7079786651996432E-2</v>
      </c>
      <c r="U41" s="167"/>
      <c r="V41" s="167"/>
    </row>
    <row r="42" spans="1:22" s="317" customFormat="1" ht="18" customHeight="1" x14ac:dyDescent="0.2">
      <c r="A42" s="306"/>
      <c r="B42" s="306"/>
      <c r="C42" s="270"/>
      <c r="D42" s="328"/>
      <c r="E42" s="328"/>
      <c r="F42" s="328"/>
      <c r="G42" s="328"/>
      <c r="H42" s="328"/>
      <c r="I42" s="328"/>
      <c r="J42" s="328"/>
      <c r="K42" s="270"/>
      <c r="N42" s="167"/>
      <c r="O42" s="167"/>
      <c r="P42" s="167"/>
      <c r="Q42" s="167"/>
      <c r="R42" s="167"/>
      <c r="S42" s="167"/>
      <c r="T42" s="167"/>
      <c r="U42" s="167"/>
      <c r="V42" s="167"/>
    </row>
    <row r="43" spans="1:22" s="317" customFormat="1" x14ac:dyDescent="0.2">
      <c r="A43" s="306" t="s">
        <v>636</v>
      </c>
      <c r="B43" s="306" t="s">
        <v>637</v>
      </c>
      <c r="C43" s="270" t="s">
        <v>638</v>
      </c>
      <c r="D43" s="181">
        <f>4937.390602*$N$1</f>
        <v>5070.7001482539999</v>
      </c>
      <c r="E43" s="181">
        <f>5166.771452*$N$1</f>
        <v>5306.2742812039996</v>
      </c>
      <c r="F43" s="181">
        <f>5424.032268*$N$1</f>
        <v>5570.4811392359998</v>
      </c>
      <c r="G43" s="181">
        <f>5697.768396*$N$1</f>
        <v>5851.608142692</v>
      </c>
      <c r="H43" s="181">
        <f>5982.911214*$N$1</f>
        <v>6144.4498167779993</v>
      </c>
      <c r="I43" s="181">
        <f>6188.21331*$N$1</f>
        <v>6355.2950693699995</v>
      </c>
      <c r="J43" s="328"/>
      <c r="K43" s="270" t="s">
        <v>10</v>
      </c>
      <c r="N43" s="182" t="s">
        <v>455</v>
      </c>
      <c r="O43" s="183">
        <f>(E43-D43)/D43</f>
        <v>4.6457910359995393E-2</v>
      </c>
      <c r="P43" s="183">
        <f>(F43-E43)/E43</f>
        <v>4.9791406178885139E-2</v>
      </c>
      <c r="Q43" s="183">
        <f>(G43-F43)/F43</f>
        <v>5.0467274985614125E-2</v>
      </c>
      <c r="R43" s="183">
        <f>(H43-G43)/G43</f>
        <v>5.0044648743563874E-2</v>
      </c>
      <c r="S43" s="183">
        <f>(I43-H43)/H43</f>
        <v>3.4314748900099626E-2</v>
      </c>
      <c r="T43" s="167"/>
      <c r="U43" s="167"/>
      <c r="V43" s="167"/>
    </row>
    <row r="44" spans="1:22" s="317" customFormat="1" x14ac:dyDescent="0.2">
      <c r="A44" s="306"/>
      <c r="B44" s="273"/>
      <c r="C44" s="270"/>
      <c r="D44" s="328">
        <f t="shared" ref="D44:I44" si="31">D43*12</f>
        <v>60848.401779047999</v>
      </c>
      <c r="E44" s="328">
        <f t="shared" si="31"/>
        <v>63675.291374447996</v>
      </c>
      <c r="F44" s="328">
        <f t="shared" si="31"/>
        <v>66845.773670832001</v>
      </c>
      <c r="G44" s="328">
        <f t="shared" si="31"/>
        <v>70219.297712304004</v>
      </c>
      <c r="H44" s="328">
        <f t="shared" si="31"/>
        <v>73733.397801335988</v>
      </c>
      <c r="I44" s="328">
        <f t="shared" si="31"/>
        <v>76263.54083243999</v>
      </c>
      <c r="J44" s="328"/>
      <c r="K44" s="270" t="s">
        <v>520</v>
      </c>
      <c r="N44" s="182" t="s">
        <v>456</v>
      </c>
      <c r="O44" s="183">
        <f>(I43-D43)/D43</f>
        <v>0.25333679443820506</v>
      </c>
      <c r="P44" s="167"/>
      <c r="Q44" s="167"/>
      <c r="R44" s="167"/>
      <c r="S44" s="167"/>
      <c r="T44" s="167"/>
      <c r="U44" s="167"/>
      <c r="V44" s="167"/>
    </row>
    <row r="45" spans="1:22" s="317" customFormat="1" x14ac:dyDescent="0.2">
      <c r="A45" s="306"/>
      <c r="B45" s="306"/>
      <c r="C45" s="270"/>
      <c r="D45" s="166">
        <f t="shared" ref="D45:I45" si="32">D44/2080</f>
        <v>29.254039316850001</v>
      </c>
      <c r="E45" s="166">
        <f t="shared" si="32"/>
        <v>30.613120853099996</v>
      </c>
      <c r="F45" s="166">
        <f t="shared" si="32"/>
        <v>32.1373911879</v>
      </c>
      <c r="G45" s="166">
        <f t="shared" si="32"/>
        <v>33.7592777463</v>
      </c>
      <c r="H45" s="166">
        <f t="shared" si="32"/>
        <v>35.448748942949997</v>
      </c>
      <c r="I45" s="166">
        <f t="shared" si="32"/>
        <v>36.665163861749996</v>
      </c>
      <c r="J45" s="166"/>
      <c r="K45" s="270" t="s">
        <v>11</v>
      </c>
      <c r="N45" s="172"/>
      <c r="O45" s="183"/>
      <c r="P45" s="183"/>
      <c r="Q45" s="183"/>
      <c r="R45" s="183"/>
      <c r="S45" s="183"/>
      <c r="T45" s="167"/>
      <c r="U45" s="167"/>
      <c r="V45" s="167"/>
    </row>
    <row r="46" spans="1:22" s="317" customFormat="1" ht="18" customHeight="1" x14ac:dyDescent="0.2">
      <c r="A46" s="306"/>
      <c r="B46" s="306"/>
      <c r="C46" s="270"/>
      <c r="D46" s="328"/>
      <c r="E46" s="328"/>
      <c r="F46" s="328"/>
      <c r="G46" s="328"/>
      <c r="H46" s="328"/>
      <c r="I46" s="328"/>
      <c r="J46" s="328"/>
      <c r="K46" s="270"/>
    </row>
    <row r="47" spans="1:22" s="317" customFormat="1" x14ac:dyDescent="0.2">
      <c r="A47" s="306" t="s">
        <v>431</v>
      </c>
      <c r="B47" s="306" t="s">
        <v>313</v>
      </c>
      <c r="C47" s="270" t="s">
        <v>8</v>
      </c>
      <c r="D47" s="181">
        <f>5241.541516*$N$1</f>
        <v>5383.0631369319999</v>
      </c>
      <c r="E47" s="181">
        <f>5500.07076*$N$1</f>
        <v>5648.5726705199995</v>
      </c>
      <c r="F47" s="181">
        <f>5777.6081*$N$1</f>
        <v>5933.6035186999998</v>
      </c>
      <c r="G47" s="181">
        <f>6066.55213*$N$1</f>
        <v>6230.3490375099991</v>
      </c>
      <c r="H47" s="181">
        <f>6366.901832*$N$1</f>
        <v>6538.8081814639991</v>
      </c>
      <c r="I47" s="181">
        <f>6396.049208*$N$1</f>
        <v>6568.7425366159996</v>
      </c>
      <c r="J47" s="181">
        <f>6600.084912*$N$1</f>
        <v>6778.287204624</v>
      </c>
      <c r="K47" s="270" t="s">
        <v>10</v>
      </c>
      <c r="N47" s="318"/>
      <c r="O47" s="5"/>
      <c r="P47" s="5"/>
      <c r="Q47" s="5"/>
      <c r="R47" s="5"/>
      <c r="S47" s="5"/>
    </row>
    <row r="48" spans="1:22" s="317" customFormat="1" x14ac:dyDescent="0.2">
      <c r="A48" s="306"/>
      <c r="B48" s="273"/>
      <c r="C48" s="270"/>
      <c r="D48" s="328">
        <f>D47*12</f>
        <v>64596.757643183999</v>
      </c>
      <c r="E48" s="328">
        <f t="shared" ref="E48:J48" si="33">E47*12</f>
        <v>67782.872046239994</v>
      </c>
      <c r="F48" s="328">
        <f t="shared" si="33"/>
        <v>71203.24222439999</v>
      </c>
      <c r="G48" s="328">
        <f t="shared" si="33"/>
        <v>74764.188450119982</v>
      </c>
      <c r="H48" s="328">
        <f t="shared" si="33"/>
        <v>78465.698177567989</v>
      </c>
      <c r="I48" s="328">
        <f t="shared" si="33"/>
        <v>78824.910439391999</v>
      </c>
      <c r="J48" s="328">
        <f t="shared" si="33"/>
        <v>81339.446455487996</v>
      </c>
      <c r="K48" s="270" t="s">
        <v>520</v>
      </c>
      <c r="N48" s="318"/>
      <c r="O48" s="5"/>
    </row>
    <row r="49" spans="1:20" s="317" customFormat="1" x14ac:dyDescent="0.2">
      <c r="A49" s="306"/>
      <c r="B49" s="306"/>
      <c r="C49" s="270"/>
      <c r="D49" s="166">
        <f>D48/2080</f>
        <v>31.056133482299998</v>
      </c>
      <c r="E49" s="166">
        <f t="shared" ref="E49:J49" si="34">E48/2080</f>
        <v>32.587919252999995</v>
      </c>
      <c r="F49" s="166">
        <f t="shared" si="34"/>
        <v>34.232327992499997</v>
      </c>
      <c r="G49" s="166">
        <f t="shared" si="34"/>
        <v>35.944321370249995</v>
      </c>
      <c r="H49" s="166">
        <f t="shared" si="34"/>
        <v>37.723893354599994</v>
      </c>
      <c r="I49" s="166">
        <f t="shared" si="34"/>
        <v>37.896591557400001</v>
      </c>
      <c r="J49" s="166">
        <f t="shared" si="34"/>
        <v>39.1055031036</v>
      </c>
      <c r="K49" s="270" t="s">
        <v>11</v>
      </c>
      <c r="N49" s="321"/>
      <c r="O49" s="5"/>
      <c r="P49" s="5"/>
      <c r="Q49" s="5"/>
      <c r="R49" s="5"/>
      <c r="S49" s="5"/>
      <c r="T49" s="5"/>
    </row>
    <row r="50" spans="1:20" s="317" customFormat="1" ht="18" customHeight="1" x14ac:dyDescent="0.2">
      <c r="A50" s="306"/>
      <c r="B50" s="306"/>
      <c r="C50" s="270"/>
      <c r="D50" s="328"/>
      <c r="E50" s="328"/>
      <c r="F50" s="328"/>
      <c r="G50" s="328"/>
      <c r="H50" s="328"/>
      <c r="I50" s="328"/>
      <c r="J50" s="328"/>
      <c r="K50" s="270"/>
    </row>
    <row r="51" spans="1:20" s="317" customFormat="1" x14ac:dyDescent="0.2">
      <c r="A51" s="306" t="s">
        <v>428</v>
      </c>
      <c r="B51" s="273" t="s">
        <v>316</v>
      </c>
      <c r="C51" s="270" t="s">
        <v>9</v>
      </c>
      <c r="D51" s="181">
        <f>5273.223712*$N$1</f>
        <v>5415.6007522239997</v>
      </c>
      <c r="E51" s="181">
        <f>5539.356398*$N$1</f>
        <v>5688.9190207459997</v>
      </c>
      <c r="F51" s="181">
        <f>5815.627346*$N$1</f>
        <v>5972.6492843420001</v>
      </c>
      <c r="G51" s="181">
        <f>6095.700524*$N$1</f>
        <v>6260.284438147999</v>
      </c>
      <c r="H51" s="181">
        <f>6406.188488*$N$1</f>
        <v>6579.1555771759995</v>
      </c>
      <c r="I51" s="181">
        <f>6622.896256*$N$1</f>
        <v>6801.7144549119994</v>
      </c>
      <c r="J51" s="328"/>
      <c r="K51" s="270" t="s">
        <v>10</v>
      </c>
      <c r="N51" s="318"/>
      <c r="O51" s="5"/>
      <c r="P51" s="5"/>
      <c r="Q51" s="5"/>
      <c r="R51" s="5"/>
      <c r="S51" s="5"/>
      <c r="T51" s="5"/>
    </row>
    <row r="52" spans="1:20" s="317" customFormat="1" x14ac:dyDescent="0.2">
      <c r="A52" s="306"/>
      <c r="B52" s="273" t="s">
        <v>315</v>
      </c>
      <c r="C52" s="269" t="s">
        <v>485</v>
      </c>
      <c r="D52" s="328">
        <f t="shared" ref="D52:I52" si="35">D51*12</f>
        <v>64987.209026687997</v>
      </c>
      <c r="E52" s="328">
        <f t="shared" si="35"/>
        <v>68267.028248952003</v>
      </c>
      <c r="F52" s="328">
        <f t="shared" si="35"/>
        <v>71671.791412104008</v>
      </c>
      <c r="G52" s="328">
        <f t="shared" si="35"/>
        <v>75123.413257775988</v>
      </c>
      <c r="H52" s="328">
        <f t="shared" si="35"/>
        <v>78949.866926111994</v>
      </c>
      <c r="I52" s="328">
        <f t="shared" si="35"/>
        <v>81620.573458943996</v>
      </c>
      <c r="J52" s="328"/>
      <c r="K52" s="270" t="s">
        <v>520</v>
      </c>
      <c r="N52" s="318"/>
      <c r="O52" s="5"/>
    </row>
    <row r="53" spans="1:20" s="317" customFormat="1" x14ac:dyDescent="0.2">
      <c r="A53" s="306"/>
      <c r="B53" s="306"/>
      <c r="C53" s="270"/>
      <c r="D53" s="166">
        <f t="shared" ref="D53:I53" si="36">D52/2080</f>
        <v>31.2438504936</v>
      </c>
      <c r="E53" s="166">
        <f t="shared" si="36"/>
        <v>32.820686658150002</v>
      </c>
      <c r="F53" s="166">
        <f t="shared" si="36"/>
        <v>34.457592025050005</v>
      </c>
      <c r="G53" s="166">
        <f t="shared" si="36"/>
        <v>36.117025604699997</v>
      </c>
      <c r="H53" s="166">
        <f t="shared" si="36"/>
        <v>37.956666791399996</v>
      </c>
      <c r="I53" s="166">
        <f t="shared" si="36"/>
        <v>39.240660316799996</v>
      </c>
      <c r="J53" s="166"/>
      <c r="K53" s="270" t="s">
        <v>11</v>
      </c>
      <c r="N53" s="321"/>
      <c r="O53" s="5"/>
      <c r="P53" s="5"/>
      <c r="Q53" s="5"/>
      <c r="R53" s="5"/>
      <c r="S53" s="5"/>
      <c r="T53" s="5"/>
    </row>
    <row r="54" spans="1:20" s="317" customFormat="1" ht="18" customHeight="1" x14ac:dyDescent="0.2">
      <c r="A54" s="306"/>
      <c r="B54" s="306"/>
      <c r="C54" s="270"/>
      <c r="D54" s="328"/>
      <c r="E54" s="328"/>
      <c r="F54" s="328"/>
      <c r="G54" s="328"/>
      <c r="H54" s="328"/>
      <c r="I54" s="328"/>
      <c r="J54" s="328"/>
      <c r="K54" s="270"/>
    </row>
    <row r="55" spans="1:20" s="317" customFormat="1" x14ac:dyDescent="0.2">
      <c r="A55" s="306" t="s">
        <v>639</v>
      </c>
      <c r="B55" s="306" t="s">
        <v>640</v>
      </c>
      <c r="C55" s="270" t="s">
        <v>641</v>
      </c>
      <c r="D55" s="181">
        <f>5539.356398*$N$1</f>
        <v>5688.9190207459997</v>
      </c>
      <c r="E55" s="181">
        <f>5815.627346*$N$1</f>
        <v>5972.6492843420001</v>
      </c>
      <c r="F55" s="181">
        <f>6095.700524*$N$1</f>
        <v>6260.284438147999</v>
      </c>
      <c r="G55" s="181">
        <f>6406.188488*$N$1</f>
        <v>6579.1555771759995</v>
      </c>
      <c r="H55" s="181">
        <f>6622.896256*$N$1</f>
        <v>6801.7144549119994</v>
      </c>
      <c r="I55" s="181">
        <f>6835.801794*$N$1</f>
        <v>7020.368442437999</v>
      </c>
      <c r="J55" s="328"/>
      <c r="K55" s="270" t="s">
        <v>10</v>
      </c>
      <c r="N55" s="318"/>
      <c r="O55" s="5"/>
      <c r="P55" s="5"/>
      <c r="Q55" s="5"/>
      <c r="R55" s="5"/>
      <c r="S55" s="5"/>
    </row>
    <row r="56" spans="1:20" s="317" customFormat="1" x14ac:dyDescent="0.2">
      <c r="A56" s="306"/>
      <c r="B56" s="306"/>
      <c r="C56" s="270"/>
      <c r="D56" s="328">
        <f t="shared" ref="D56:I56" si="37">D55*12</f>
        <v>68267.028248952003</v>
      </c>
      <c r="E56" s="328">
        <f t="shared" si="37"/>
        <v>71671.791412104008</v>
      </c>
      <c r="F56" s="328">
        <f t="shared" si="37"/>
        <v>75123.413257775988</v>
      </c>
      <c r="G56" s="328">
        <f t="shared" si="37"/>
        <v>78949.866926111994</v>
      </c>
      <c r="H56" s="328">
        <f t="shared" si="37"/>
        <v>81620.573458943996</v>
      </c>
      <c r="I56" s="328">
        <f t="shared" si="37"/>
        <v>84244.421309255995</v>
      </c>
      <c r="J56" s="328"/>
      <c r="K56" s="270" t="s">
        <v>520</v>
      </c>
      <c r="N56" s="318"/>
      <c r="O56" s="5"/>
    </row>
    <row r="57" spans="1:20" s="317" customFormat="1" x14ac:dyDescent="0.2">
      <c r="A57" s="306"/>
      <c r="B57" s="306"/>
      <c r="C57" s="270"/>
      <c r="D57" s="166">
        <f t="shared" ref="D57:I57" si="38">D56/2080</f>
        <v>32.820686658150002</v>
      </c>
      <c r="E57" s="166">
        <f t="shared" si="38"/>
        <v>34.457592025050005</v>
      </c>
      <c r="F57" s="166">
        <f t="shared" si="38"/>
        <v>36.117025604699997</v>
      </c>
      <c r="G57" s="166">
        <f t="shared" si="38"/>
        <v>37.956666791399996</v>
      </c>
      <c r="H57" s="166">
        <f t="shared" si="38"/>
        <v>39.240660316799996</v>
      </c>
      <c r="I57" s="166">
        <f t="shared" si="38"/>
        <v>40.502125629449999</v>
      </c>
      <c r="J57" s="166"/>
      <c r="K57" s="270" t="s">
        <v>11</v>
      </c>
      <c r="N57" s="321"/>
      <c r="O57" s="5"/>
      <c r="P57" s="5"/>
      <c r="Q57" s="5"/>
      <c r="R57" s="5"/>
      <c r="S57" s="5"/>
    </row>
    <row r="58" spans="1:20" s="317" customFormat="1" ht="18" customHeight="1" x14ac:dyDescent="0.2">
      <c r="A58" s="319"/>
      <c r="B58" s="319"/>
      <c r="D58" s="316"/>
      <c r="E58" s="316"/>
      <c r="F58" s="316"/>
      <c r="G58" s="316"/>
      <c r="H58" s="316"/>
      <c r="I58" s="316"/>
      <c r="J58" s="316"/>
    </row>
    <row r="59" spans="1:20" ht="34.15" customHeight="1" x14ac:dyDescent="0.25">
      <c r="A59" s="332"/>
      <c r="B59" s="332"/>
      <c r="C59" s="332"/>
      <c r="D59" s="332"/>
      <c r="E59" s="332"/>
      <c r="F59" s="332"/>
      <c r="G59" s="332"/>
      <c r="H59" s="332"/>
      <c r="I59" s="332"/>
      <c r="J59" s="332"/>
      <c r="K59" s="332"/>
    </row>
    <row r="60" spans="1:20" x14ac:dyDescent="0.2">
      <c r="D60" s="324"/>
      <c r="E60" s="324"/>
      <c r="F60" s="324"/>
      <c r="G60" s="324"/>
      <c r="H60" s="324"/>
      <c r="I60" s="324"/>
      <c r="J60" s="324"/>
    </row>
    <row r="61" spans="1:20" x14ac:dyDescent="0.2">
      <c r="D61" s="324"/>
      <c r="E61" s="324"/>
      <c r="F61" s="324"/>
      <c r="G61" s="324"/>
      <c r="H61" s="324"/>
      <c r="I61" s="440"/>
      <c r="J61" s="324"/>
    </row>
    <row r="62" spans="1:20" x14ac:dyDescent="0.2">
      <c r="D62" s="324"/>
      <c r="E62" s="324"/>
      <c r="F62" s="324"/>
      <c r="G62" s="324"/>
      <c r="H62" s="324"/>
      <c r="I62" s="324"/>
      <c r="J62" s="324"/>
    </row>
    <row r="63" spans="1:20" x14ac:dyDescent="0.2">
      <c r="D63" s="324"/>
      <c r="E63" s="324"/>
      <c r="F63" s="324"/>
      <c r="G63" s="324"/>
      <c r="H63" s="324"/>
      <c r="I63" s="324"/>
      <c r="J63" s="324"/>
    </row>
    <row r="64" spans="1:20" x14ac:dyDescent="0.2">
      <c r="D64" s="324"/>
      <c r="E64" s="324"/>
      <c r="F64" s="324"/>
      <c r="G64" s="324"/>
      <c r="H64" s="324"/>
      <c r="I64" s="324"/>
      <c r="J64" s="324"/>
    </row>
    <row r="65" spans="4:10" x14ac:dyDescent="0.2">
      <c r="D65" s="324"/>
      <c r="E65" s="324"/>
      <c r="F65" s="324"/>
      <c r="G65" s="324"/>
      <c r="H65" s="324"/>
      <c r="I65" s="324"/>
      <c r="J65" s="324"/>
    </row>
    <row r="66" spans="4:10" x14ac:dyDescent="0.2">
      <c r="D66" s="324"/>
      <c r="E66" s="324"/>
      <c r="F66" s="324"/>
      <c r="G66" s="324"/>
      <c r="H66" s="324"/>
      <c r="I66" s="324"/>
      <c r="J66" s="324"/>
    </row>
    <row r="67" spans="4:10" x14ac:dyDescent="0.2">
      <c r="D67" s="324"/>
      <c r="E67" s="324"/>
      <c r="F67" s="324"/>
      <c r="G67" s="324"/>
      <c r="H67" s="324"/>
      <c r="I67" s="324"/>
      <c r="J67" s="324"/>
    </row>
    <row r="68" spans="4:10" x14ac:dyDescent="0.2">
      <c r="D68" s="324"/>
      <c r="E68" s="324"/>
      <c r="F68" s="324"/>
      <c r="G68" s="324"/>
      <c r="H68" s="324"/>
      <c r="I68" s="324"/>
      <c r="J68" s="324"/>
    </row>
    <row r="69" spans="4:10" x14ac:dyDescent="0.2">
      <c r="D69" s="324"/>
      <c r="E69" s="324"/>
      <c r="F69" s="324"/>
      <c r="G69" s="324"/>
      <c r="H69" s="324"/>
      <c r="I69" s="324"/>
      <c r="J69" s="324"/>
    </row>
    <row r="70" spans="4:10" x14ac:dyDescent="0.2">
      <c r="D70" s="324"/>
      <c r="E70" s="324"/>
      <c r="F70" s="324"/>
      <c r="G70" s="324"/>
      <c r="H70" s="324"/>
      <c r="I70" s="324"/>
      <c r="J70" s="324"/>
    </row>
    <row r="71" spans="4:10" x14ac:dyDescent="0.2">
      <c r="D71" s="324"/>
      <c r="E71" s="324"/>
      <c r="F71" s="324"/>
      <c r="G71" s="324"/>
      <c r="H71" s="324"/>
      <c r="I71" s="324"/>
      <c r="J71" s="324"/>
    </row>
    <row r="72" spans="4:10" x14ac:dyDescent="0.2">
      <c r="D72" s="324"/>
      <c r="E72" s="324"/>
      <c r="F72" s="324"/>
      <c r="G72" s="324"/>
      <c r="H72" s="324"/>
      <c r="I72" s="324"/>
      <c r="J72" s="324"/>
    </row>
    <row r="73" spans="4:10" x14ac:dyDescent="0.2">
      <c r="D73" s="324"/>
      <c r="E73" s="324"/>
      <c r="F73" s="324"/>
      <c r="G73" s="324"/>
      <c r="H73" s="324"/>
      <c r="I73" s="324"/>
      <c r="J73" s="324"/>
    </row>
    <row r="74" spans="4:10" x14ac:dyDescent="0.2">
      <c r="D74" s="324"/>
      <c r="E74" s="324"/>
      <c r="F74" s="324"/>
      <c r="G74" s="324"/>
      <c r="H74" s="324"/>
      <c r="I74" s="324"/>
      <c r="J74" s="324"/>
    </row>
    <row r="75" spans="4:10" x14ac:dyDescent="0.2">
      <c r="D75" s="324"/>
      <c r="E75" s="324"/>
      <c r="F75" s="324"/>
      <c r="G75" s="324"/>
      <c r="H75" s="324"/>
      <c r="I75" s="324"/>
      <c r="J75" s="324"/>
    </row>
    <row r="76" spans="4:10" x14ac:dyDescent="0.2">
      <c r="D76" s="324"/>
      <c r="E76" s="324"/>
      <c r="F76" s="324"/>
      <c r="G76" s="324"/>
      <c r="H76" s="324"/>
      <c r="I76" s="324"/>
      <c r="J76" s="324"/>
    </row>
    <row r="77" spans="4:10" x14ac:dyDescent="0.2">
      <c r="D77" s="324"/>
      <c r="E77" s="324"/>
      <c r="F77" s="324"/>
      <c r="G77" s="324"/>
      <c r="H77" s="324"/>
      <c r="I77" s="440"/>
      <c r="J77" s="324"/>
    </row>
    <row r="78" spans="4:10" x14ac:dyDescent="0.2">
      <c r="D78" s="324"/>
      <c r="E78" s="324"/>
      <c r="F78" s="324"/>
      <c r="G78" s="324"/>
      <c r="H78" s="324"/>
      <c r="I78" s="324"/>
      <c r="J78" s="324"/>
    </row>
    <row r="216" spans="9:9" x14ac:dyDescent="0.2">
      <c r="I216" s="436"/>
    </row>
  </sheetData>
  <mergeCells count="8">
    <mergeCell ref="A1:A2"/>
    <mergeCell ref="B1:B2"/>
    <mergeCell ref="C1:C2"/>
    <mergeCell ref="D1:J1"/>
    <mergeCell ref="O1:T1"/>
    <mergeCell ref="C3:C4"/>
    <mergeCell ref="C11:C12"/>
    <mergeCell ref="C15:C16"/>
  </mergeCells>
  <printOptions horizontalCentered="1" gridLines="1"/>
  <pageMargins left="0" right="0" top="1.75" bottom="0.5" header="0.5" footer="0.5"/>
  <pageSetup scale="78" fitToWidth="0" fitToHeight="0" orientation="portrait" r:id="rId1"/>
  <headerFooter alignWithMargins="0">
    <oddHeader>&amp;LOrdinance #  (pay plan adoption)
Resolution #9044 (contract adoption)&amp;C&amp;"Times New Roman,Bold"&amp;14 2018 CITY OF PAY PLANS
TEAMSTERS LOCAL UNION NO 763
UTILITIES, PARKS, CIVIC SERVICES and TRANSPORTATION</oddHeader>
    <oddFooter xml:space="preserve">&amp;C&amp;"Times New Roman,Regular"&amp;16&amp;A&amp;R&amp;"Times New Roman,Regular"Effective 01/01/18
System Update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92D050"/>
  </sheetPr>
  <dimension ref="A1:I216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7.7109375" style="410" customWidth="1"/>
    <col min="2" max="2" width="2.7109375" style="410" customWidth="1"/>
    <col min="3" max="3" width="8.28515625" style="410" customWidth="1"/>
    <col min="4" max="4" width="40.7109375" style="160" customWidth="1"/>
    <col min="5" max="5" width="10.7109375" style="187" customWidth="1"/>
    <col min="6" max="6" width="10.7109375" style="160" customWidth="1"/>
    <col min="7" max="16384" width="9.140625" style="160"/>
  </cols>
  <sheetData>
    <row r="1" spans="1:6" s="174" customFormat="1" x14ac:dyDescent="0.2">
      <c r="A1" s="657" t="s">
        <v>550</v>
      </c>
      <c r="B1" s="411"/>
      <c r="C1" s="659" t="s">
        <v>0</v>
      </c>
      <c r="D1" s="659" t="s">
        <v>1</v>
      </c>
      <c r="E1" s="659" t="s">
        <v>458</v>
      </c>
      <c r="F1" s="441">
        <v>2019</v>
      </c>
    </row>
    <row r="2" spans="1:6" s="411" customFormat="1" x14ac:dyDescent="0.2">
      <c r="A2" s="658"/>
      <c r="B2" s="410"/>
      <c r="C2" s="658"/>
      <c r="D2" s="660"/>
      <c r="E2" s="659"/>
      <c r="F2" s="412"/>
    </row>
    <row r="3" spans="1:6" x14ac:dyDescent="0.2">
      <c r="A3" s="188" t="s">
        <v>416</v>
      </c>
      <c r="B3" s="410" t="s">
        <v>88</v>
      </c>
      <c r="C3" s="188" t="s">
        <v>317</v>
      </c>
      <c r="D3" s="189" t="s">
        <v>13</v>
      </c>
      <c r="E3" s="170">
        <v>2394</v>
      </c>
      <c r="F3" s="160" t="s">
        <v>10</v>
      </c>
    </row>
    <row r="4" spans="1:6" x14ac:dyDescent="0.2">
      <c r="E4" s="170">
        <f>12*E3</f>
        <v>28728</v>
      </c>
      <c r="F4" s="160" t="s">
        <v>520</v>
      </c>
    </row>
    <row r="5" spans="1:6" ht="35.1" customHeight="1" x14ac:dyDescent="0.2">
      <c r="E5" s="171"/>
    </row>
    <row r="6" spans="1:6" x14ac:dyDescent="0.2">
      <c r="A6" s="410" t="s">
        <v>417</v>
      </c>
      <c r="B6" s="410" t="s">
        <v>88</v>
      </c>
      <c r="C6" s="188" t="s">
        <v>319</v>
      </c>
      <c r="D6" s="189" t="s">
        <v>57</v>
      </c>
      <c r="E6" s="170">
        <v>2539</v>
      </c>
      <c r="F6" s="160" t="s">
        <v>10</v>
      </c>
    </row>
    <row r="7" spans="1:6" x14ac:dyDescent="0.2">
      <c r="C7" s="188"/>
      <c r="E7" s="170">
        <f>12*E6</f>
        <v>30468</v>
      </c>
      <c r="F7" s="160" t="s">
        <v>520</v>
      </c>
    </row>
    <row r="8" spans="1:6" ht="35.1" customHeight="1" x14ac:dyDescent="0.2">
      <c r="C8" s="188"/>
      <c r="E8" s="171"/>
    </row>
    <row r="9" spans="1:6" x14ac:dyDescent="0.2">
      <c r="A9" s="410" t="s">
        <v>58</v>
      </c>
      <c r="B9" s="410" t="s">
        <v>88</v>
      </c>
      <c r="C9" s="188" t="s">
        <v>318</v>
      </c>
      <c r="D9" s="189" t="s">
        <v>14</v>
      </c>
      <c r="E9" s="170">
        <v>2829</v>
      </c>
      <c r="F9" s="160" t="s">
        <v>10</v>
      </c>
    </row>
    <row r="10" spans="1:6" x14ac:dyDescent="0.2">
      <c r="C10" s="188"/>
      <c r="E10" s="170">
        <f>12*E9</f>
        <v>33948</v>
      </c>
      <c r="F10" s="160" t="s">
        <v>520</v>
      </c>
    </row>
    <row r="11" spans="1:6" ht="35.1" customHeight="1" x14ac:dyDescent="0.2">
      <c r="E11" s="171"/>
    </row>
    <row r="61" spans="9:9" x14ac:dyDescent="0.2">
      <c r="I61" s="437"/>
    </row>
    <row r="77" spans="9:9" x14ac:dyDescent="0.2">
      <c r="I77" s="437"/>
    </row>
    <row r="216" spans="9:9" x14ac:dyDescent="0.2">
      <c r="I216" s="437"/>
    </row>
  </sheetData>
  <mergeCells count="4">
    <mergeCell ref="A1:A2"/>
    <mergeCell ref="C1:C2"/>
    <mergeCell ref="D1:D2"/>
    <mergeCell ref="E1:E2"/>
  </mergeCells>
  <printOptions horizontalCentered="1" gridLines="1"/>
  <pageMargins left="0.25" right="0.25" top="1.75" bottom="1" header="0.5" footer="0.5"/>
  <pageSetup orientation="portrait" r:id="rId1"/>
  <headerFooter alignWithMargins="0">
    <oddHeader>&amp;LOrdinance #6306 and 6322
&amp;C&amp;"Times New Roman,Bold"&amp;14 &amp;K0000002019
CITY OF BELLEVUE PAY PLANS
ELECTED OFFICIALS
COUNCIL</oddHeader>
    <oddFooter>&amp;L&amp;"Times New Roman,Regular"* Position is exempt from overtime.
&amp;"Times New Roman,Bold"&amp;UNOTE&amp;"Times New Roman,Regular"&amp;U:  This pay plan is not subject to
GSA/COLA increases.&amp;C&amp;"Times New Roman,Bold"&amp;16&amp;A&amp;REffective 01/07/2017,
System Update 01/07/17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rgb="FF92D050"/>
    <pageSetUpPr fitToPage="1"/>
  </sheetPr>
  <dimension ref="A1:R85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5" style="447" customWidth="1"/>
    <col min="2" max="2" width="7.85546875" style="214" customWidth="1"/>
    <col min="3" max="3" width="30.85546875" style="205" customWidth="1"/>
    <col min="4" max="9" width="10.7109375" style="216" customWidth="1"/>
    <col min="10" max="10" width="9.85546875" style="205" customWidth="1"/>
    <col min="11" max="11" width="15.5703125" style="205" customWidth="1"/>
    <col min="12" max="12" width="14.42578125" style="205" customWidth="1"/>
    <col min="13" max="13" width="14.140625" style="205" customWidth="1"/>
    <col min="14" max="16384" width="9.140625" style="205"/>
  </cols>
  <sheetData>
    <row r="1" spans="1:18" s="191" customFormat="1" ht="12.75" customHeight="1" x14ac:dyDescent="0.2">
      <c r="A1" s="665" t="s">
        <v>550</v>
      </c>
      <c r="B1" s="672" t="s">
        <v>0</v>
      </c>
      <c r="C1" s="672" t="s">
        <v>1</v>
      </c>
      <c r="D1" s="675" t="s">
        <v>2</v>
      </c>
      <c r="E1" s="675"/>
      <c r="F1" s="675"/>
      <c r="G1" s="675"/>
      <c r="H1" s="675"/>
      <c r="I1" s="675"/>
      <c r="J1" s="190">
        <v>2019</v>
      </c>
      <c r="K1" s="191">
        <v>2019</v>
      </c>
      <c r="L1" s="192">
        <v>1.0324</v>
      </c>
      <c r="M1" s="193"/>
      <c r="N1" s="662"/>
      <c r="O1" s="662"/>
      <c r="P1" s="662"/>
      <c r="Q1" s="662"/>
      <c r="R1" s="662"/>
    </row>
    <row r="2" spans="1:18" s="195" customFormat="1" x14ac:dyDescent="0.2">
      <c r="A2" s="666"/>
      <c r="B2" s="673"/>
      <c r="C2" s="674"/>
      <c r="D2" s="194">
        <v>1</v>
      </c>
      <c r="E2" s="194">
        <v>2</v>
      </c>
      <c r="F2" s="194">
        <v>3</v>
      </c>
      <c r="G2" s="194">
        <v>4</v>
      </c>
      <c r="H2" s="194">
        <v>5</v>
      </c>
      <c r="I2" s="194">
        <v>6</v>
      </c>
      <c r="J2" s="446"/>
      <c r="M2" s="445"/>
      <c r="N2" s="197" t="s">
        <v>450</v>
      </c>
      <c r="O2" s="197" t="s">
        <v>451</v>
      </c>
      <c r="P2" s="197" t="s">
        <v>452</v>
      </c>
      <c r="Q2" s="197" t="s">
        <v>453</v>
      </c>
      <c r="R2" s="197" t="s">
        <v>454</v>
      </c>
    </row>
    <row r="3" spans="1:18" x14ac:dyDescent="0.2">
      <c r="A3" s="198" t="s">
        <v>512</v>
      </c>
      <c r="B3" s="198" t="s">
        <v>1029</v>
      </c>
      <c r="C3" s="199" t="s">
        <v>1030</v>
      </c>
      <c r="D3" s="200">
        <f>ROUND(3564.37*$L$1,2)</f>
        <v>3679.86</v>
      </c>
      <c r="E3" s="200">
        <f>ROUND(3746.4*$L$1,2)</f>
        <v>3867.78</v>
      </c>
      <c r="F3" s="200">
        <f>ROUND(3933.39*$L$1,2)</f>
        <v>4060.83</v>
      </c>
      <c r="G3" s="200">
        <f>ROUND(4128.65*$L$1,2)</f>
        <v>4262.42</v>
      </c>
      <c r="H3" s="200">
        <f>ROUND(4337.14*$L$1,2)</f>
        <v>4477.66</v>
      </c>
      <c r="I3" s="200">
        <f>ROUND(4555.57*$L$1,2)</f>
        <v>4703.17</v>
      </c>
      <c r="J3" s="201" t="s">
        <v>10</v>
      </c>
      <c r="K3" s="448"/>
      <c r="L3" s="448"/>
      <c r="M3" s="203" t="s">
        <v>455</v>
      </c>
      <c r="N3" s="204">
        <f>(E3-D3)/D3</f>
        <v>5.10671601637019E-2</v>
      </c>
      <c r="O3" s="204">
        <f>(F3-E3)/E3</f>
        <v>4.99123528225493E-2</v>
      </c>
      <c r="P3" s="204">
        <f>(G3-F3)/F3</f>
        <v>4.9642560757283648E-2</v>
      </c>
      <c r="Q3" s="204">
        <f>(H3-G3)/G3</f>
        <v>5.0497135430107726E-2</v>
      </c>
      <c r="R3" s="204">
        <f>(I3-H3)/H3</f>
        <v>5.0363359433275467E-2</v>
      </c>
    </row>
    <row r="4" spans="1:18" x14ac:dyDescent="0.2">
      <c r="A4" s="206"/>
      <c r="B4" s="206"/>
      <c r="C4" s="207"/>
      <c r="D4" s="208">
        <f t="shared" ref="D4:I4" si="0">D3*12</f>
        <v>44158.32</v>
      </c>
      <c r="E4" s="208">
        <f t="shared" si="0"/>
        <v>46413.36</v>
      </c>
      <c r="F4" s="208">
        <f t="shared" si="0"/>
        <v>48729.96</v>
      </c>
      <c r="G4" s="208">
        <f t="shared" si="0"/>
        <v>51149.04</v>
      </c>
      <c r="H4" s="208">
        <f t="shared" si="0"/>
        <v>53731.92</v>
      </c>
      <c r="I4" s="208">
        <f t="shared" si="0"/>
        <v>56438.04</v>
      </c>
      <c r="J4" s="201" t="s">
        <v>520</v>
      </c>
      <c r="K4" s="448"/>
      <c r="L4" s="448"/>
      <c r="M4" s="203" t="s">
        <v>456</v>
      </c>
      <c r="N4" s="204">
        <f>(I3-D3)/D3</f>
        <v>0.27808394884588</v>
      </c>
      <c r="O4" s="209"/>
      <c r="P4" s="209"/>
      <c r="Q4" s="209"/>
      <c r="R4" s="209"/>
    </row>
    <row r="5" spans="1:18" x14ac:dyDescent="0.2">
      <c r="A5" s="206"/>
      <c r="B5" s="206"/>
      <c r="C5" s="201"/>
      <c r="D5" s="166">
        <f t="shared" ref="D5:I5" si="1">D4/2080</f>
        <v>21.229961538461538</v>
      </c>
      <c r="E5" s="166">
        <f t="shared" si="1"/>
        <v>22.314115384615384</v>
      </c>
      <c r="F5" s="166">
        <f t="shared" si="1"/>
        <v>23.427865384615384</v>
      </c>
      <c r="G5" s="166">
        <f t="shared" si="1"/>
        <v>24.590884615384617</v>
      </c>
      <c r="H5" s="166">
        <f t="shared" si="1"/>
        <v>25.832653846153846</v>
      </c>
      <c r="I5" s="166">
        <f t="shared" si="1"/>
        <v>27.133673076923078</v>
      </c>
      <c r="J5" s="201" t="s">
        <v>11</v>
      </c>
      <c r="K5" s="448"/>
      <c r="L5" s="448"/>
      <c r="M5" s="202"/>
    </row>
    <row r="6" spans="1:18" x14ac:dyDescent="0.2">
      <c r="A6" s="206"/>
      <c r="B6" s="206"/>
      <c r="C6" s="201"/>
      <c r="D6" s="166"/>
      <c r="E6" s="166"/>
      <c r="F6" s="166"/>
      <c r="G6" s="166"/>
      <c r="H6" s="166"/>
      <c r="I6" s="166"/>
      <c r="J6" s="201"/>
      <c r="K6" s="202"/>
      <c r="L6" s="202"/>
      <c r="M6" s="202"/>
    </row>
    <row r="7" spans="1:18" x14ac:dyDescent="0.2">
      <c r="A7" s="198" t="s">
        <v>402</v>
      </c>
      <c r="B7" s="198" t="s">
        <v>320</v>
      </c>
      <c r="C7" s="210" t="s">
        <v>766</v>
      </c>
      <c r="D7" s="200">
        <f>ROUND(3953.2*$L$1,2)</f>
        <v>4081.28</v>
      </c>
      <c r="E7" s="200">
        <f>ROUND(4152.73*$L$1,2)</f>
        <v>4287.28</v>
      </c>
      <c r="F7" s="200">
        <f>ROUND(4360.5*$L$1,2)</f>
        <v>4501.78</v>
      </c>
      <c r="G7" s="200">
        <f>ROUND(4579.27*$L$1,2)</f>
        <v>4727.6400000000003</v>
      </c>
      <c r="H7" s="200">
        <f>ROUND(4809.06*$L$1,2)</f>
        <v>4964.87</v>
      </c>
      <c r="I7" s="200">
        <f>ROUND(5049.86*$L$1,2)</f>
        <v>5213.4799999999996</v>
      </c>
      <c r="J7" s="201" t="s">
        <v>10</v>
      </c>
      <c r="K7" s="202"/>
      <c r="L7" s="202"/>
      <c r="M7" s="203" t="s">
        <v>455</v>
      </c>
      <c r="N7" s="204">
        <f>(E7-D7)/D7</f>
        <v>5.0474360984788968E-2</v>
      </c>
      <c r="O7" s="204">
        <f>(F7-E7)/E7</f>
        <v>5.0031721744322744E-2</v>
      </c>
      <c r="P7" s="204">
        <f>(G7-F7)/F7</f>
        <v>5.0171265588278544E-2</v>
      </c>
      <c r="Q7" s="204">
        <f>(H7-G7)/G7</f>
        <v>5.0179370679662487E-2</v>
      </c>
      <c r="R7" s="204">
        <f>(I7-H7)/H7</f>
        <v>5.0073818649833665E-2</v>
      </c>
    </row>
    <row r="8" spans="1:18" x14ac:dyDescent="0.2">
      <c r="A8" s="206"/>
      <c r="B8" s="198" t="s">
        <v>1031</v>
      </c>
      <c r="C8" s="199" t="s">
        <v>1039</v>
      </c>
      <c r="D8" s="208">
        <f t="shared" ref="D8:I8" si="2">+D7*12</f>
        <v>48975.360000000001</v>
      </c>
      <c r="E8" s="208">
        <f t="shared" si="2"/>
        <v>51447.360000000001</v>
      </c>
      <c r="F8" s="208">
        <f t="shared" si="2"/>
        <v>54021.36</v>
      </c>
      <c r="G8" s="208">
        <f t="shared" si="2"/>
        <v>56731.680000000008</v>
      </c>
      <c r="H8" s="208">
        <f t="shared" si="2"/>
        <v>59578.44</v>
      </c>
      <c r="I8" s="208">
        <f t="shared" si="2"/>
        <v>62561.759999999995</v>
      </c>
      <c r="J8" s="201" t="s">
        <v>520</v>
      </c>
      <c r="K8" s="202"/>
      <c r="L8" s="202"/>
      <c r="M8" s="203" t="s">
        <v>456</v>
      </c>
      <c r="N8" s="204">
        <f>(I7-D7)/D7</f>
        <v>0.27741296848047653</v>
      </c>
      <c r="O8" s="209"/>
      <c r="P8" s="209"/>
      <c r="Q8" s="209"/>
      <c r="R8" s="209"/>
    </row>
    <row r="9" spans="1:18" x14ac:dyDescent="0.2">
      <c r="A9" s="206"/>
      <c r="B9" s="206"/>
      <c r="C9" s="201"/>
      <c r="D9" s="166">
        <f t="shared" ref="D9:I9" si="3">D8/2080</f>
        <v>23.545846153846153</v>
      </c>
      <c r="E9" s="166">
        <f t="shared" si="3"/>
        <v>24.734307692307691</v>
      </c>
      <c r="F9" s="166">
        <f t="shared" si="3"/>
        <v>25.971807692307692</v>
      </c>
      <c r="G9" s="166">
        <f t="shared" si="3"/>
        <v>27.274846153846159</v>
      </c>
      <c r="H9" s="166">
        <f t="shared" si="3"/>
        <v>28.64348076923077</v>
      </c>
      <c r="I9" s="166">
        <f t="shared" si="3"/>
        <v>30.077769230769228</v>
      </c>
      <c r="J9" s="201" t="s">
        <v>11</v>
      </c>
      <c r="K9" s="202"/>
      <c r="L9" s="202"/>
      <c r="M9" s="202"/>
    </row>
    <row r="10" spans="1:18" x14ac:dyDescent="0.2">
      <c r="A10" s="206"/>
      <c r="B10" s="206"/>
      <c r="C10" s="201"/>
      <c r="D10" s="166"/>
      <c r="E10" s="166"/>
      <c r="F10" s="166"/>
      <c r="G10" s="166"/>
      <c r="H10" s="166"/>
      <c r="I10" s="166"/>
      <c r="J10" s="201"/>
      <c r="K10" s="202"/>
      <c r="L10" s="202"/>
      <c r="M10" s="202"/>
    </row>
    <row r="11" spans="1:18" x14ac:dyDescent="0.2">
      <c r="A11" s="198" t="s">
        <v>432</v>
      </c>
      <c r="B11" s="198" t="s">
        <v>516</v>
      </c>
      <c r="C11" s="212" t="s">
        <v>765</v>
      </c>
      <c r="D11" s="200">
        <f>ROUND(4111.27*$L$1,2)</f>
        <v>4244.4799999999996</v>
      </c>
      <c r="E11" s="200">
        <f>ROUND(4318.63*$L$1,2)</f>
        <v>4458.55</v>
      </c>
      <c r="F11" s="200">
        <f>ROUND(4534.29*$L$1,2)</f>
        <v>4681.2</v>
      </c>
      <c r="G11" s="200">
        <f>ROUND(4761.01*$L$1,2)</f>
        <v>4915.2700000000004</v>
      </c>
      <c r="H11" s="200">
        <f>ROUND(5000.17*$L$1,2)</f>
        <v>5162.18</v>
      </c>
      <c r="I11" s="200">
        <f>ROUND(5250.36*$L$1,2)</f>
        <v>5420.47</v>
      </c>
      <c r="J11" s="201" t="s">
        <v>10</v>
      </c>
      <c r="K11" s="202"/>
      <c r="L11" s="202"/>
      <c r="M11" s="203" t="s">
        <v>455</v>
      </c>
      <c r="N11" s="204">
        <f>(E11-D11)/D11</f>
        <v>5.0434917822678074E-2</v>
      </c>
      <c r="O11" s="204">
        <f>(F11-E11)/E11</f>
        <v>4.993776003409172E-2</v>
      </c>
      <c r="P11" s="204">
        <f>(G11-F11)/F11</f>
        <v>5.0002136204392172E-2</v>
      </c>
      <c r="Q11" s="204">
        <f>(H11-G11)/G11</f>
        <v>5.0233252700258545E-2</v>
      </c>
      <c r="R11" s="204">
        <f>(I11-H11)/H11</f>
        <v>5.003506270606603E-2</v>
      </c>
    </row>
    <row r="12" spans="1:18" x14ac:dyDescent="0.2">
      <c r="A12" s="206"/>
      <c r="B12" s="206"/>
      <c r="C12" s="201"/>
      <c r="D12" s="208">
        <f t="shared" ref="D12:I12" si="4">D11*12</f>
        <v>50933.759999999995</v>
      </c>
      <c r="E12" s="208">
        <f t="shared" si="4"/>
        <v>53502.600000000006</v>
      </c>
      <c r="F12" s="208">
        <f t="shared" si="4"/>
        <v>56174.399999999994</v>
      </c>
      <c r="G12" s="208">
        <f t="shared" si="4"/>
        <v>58983.240000000005</v>
      </c>
      <c r="H12" s="208">
        <f t="shared" si="4"/>
        <v>61946.16</v>
      </c>
      <c r="I12" s="208">
        <f t="shared" si="4"/>
        <v>65045.64</v>
      </c>
      <c r="J12" s="201" t="s">
        <v>520</v>
      </c>
      <c r="K12" s="202"/>
      <c r="L12" s="202"/>
      <c r="M12" s="203" t="s">
        <v>456</v>
      </c>
      <c r="N12" s="204">
        <f>(I11-D11)/D11</f>
        <v>0.27706338585645374</v>
      </c>
      <c r="O12" s="209"/>
      <c r="P12" s="209"/>
      <c r="Q12" s="209"/>
      <c r="R12" s="209"/>
    </row>
    <row r="13" spans="1:18" x14ac:dyDescent="0.2">
      <c r="A13" s="206"/>
      <c r="B13" s="206"/>
      <c r="C13" s="201"/>
      <c r="D13" s="166">
        <f t="shared" ref="D13:I13" si="5">D12/2080</f>
        <v>24.487384615384613</v>
      </c>
      <c r="E13" s="166">
        <f t="shared" si="5"/>
        <v>25.722403846153849</v>
      </c>
      <c r="F13" s="166">
        <f t="shared" si="5"/>
        <v>27.006923076923073</v>
      </c>
      <c r="G13" s="166">
        <f t="shared" si="5"/>
        <v>28.357326923076926</v>
      </c>
      <c r="H13" s="166">
        <f t="shared" si="5"/>
        <v>29.781807692307694</v>
      </c>
      <c r="I13" s="166">
        <f t="shared" si="5"/>
        <v>31.271942307692306</v>
      </c>
      <c r="J13" s="201" t="s">
        <v>11</v>
      </c>
      <c r="K13" s="202"/>
      <c r="L13" s="202"/>
      <c r="M13" s="202"/>
    </row>
    <row r="14" spans="1:18" x14ac:dyDescent="0.2">
      <c r="A14" s="206"/>
      <c r="B14" s="206"/>
      <c r="C14" s="213"/>
      <c r="D14" s="166"/>
      <c r="E14" s="166"/>
      <c r="F14" s="166"/>
      <c r="G14" s="166"/>
      <c r="H14" s="166"/>
      <c r="I14" s="166"/>
      <c r="J14" s="201"/>
      <c r="K14" s="202"/>
      <c r="L14" s="202"/>
      <c r="M14" s="202"/>
    </row>
    <row r="15" spans="1:18" x14ac:dyDescent="0.2">
      <c r="A15" s="447" t="s">
        <v>507</v>
      </c>
      <c r="B15" s="447" t="s">
        <v>872</v>
      </c>
      <c r="C15" s="199" t="s">
        <v>873</v>
      </c>
      <c r="D15" s="200">
        <f>ROUND(4208.52*$L$1,2)</f>
        <v>4344.88</v>
      </c>
      <c r="E15" s="200">
        <f>ROUND(4418.35*$L$1,2)</f>
        <v>4561.5</v>
      </c>
      <c r="F15" s="200">
        <f>ROUND(4640.19*$L$1,2)</f>
        <v>4790.53</v>
      </c>
      <c r="G15" s="200">
        <f>ROUND(4871.41*$L$1,2)</f>
        <v>5029.24</v>
      </c>
      <c r="H15" s="200">
        <f>ROUND(5115.98*$L$1,2)</f>
        <v>5281.74</v>
      </c>
      <c r="I15" s="200">
        <f>ROUND(5371.24*$L$1,2)</f>
        <v>5545.27</v>
      </c>
      <c r="J15" s="201" t="s">
        <v>10</v>
      </c>
      <c r="K15" s="202"/>
      <c r="L15" s="202"/>
      <c r="M15" s="203" t="s">
        <v>455</v>
      </c>
      <c r="N15" s="204">
        <f>(E15-D15)/D15</f>
        <v>4.9856382684907267E-2</v>
      </c>
      <c r="O15" s="204">
        <f>(F15-E15)/E15</f>
        <v>5.0209360955825878E-2</v>
      </c>
      <c r="P15" s="204">
        <f>(G15-F15)/F15</f>
        <v>4.9829559568565496E-2</v>
      </c>
      <c r="Q15" s="204">
        <f>(H15-G15)/G15</f>
        <v>5.0206393013656141E-2</v>
      </c>
      <c r="R15" s="204">
        <f>(I15-H15)/H15</f>
        <v>4.9894542328853875E-2</v>
      </c>
    </row>
    <row r="16" spans="1:18" x14ac:dyDescent="0.2">
      <c r="D16" s="208">
        <f t="shared" ref="D16:H16" si="6">D15*12</f>
        <v>52138.559999999998</v>
      </c>
      <c r="E16" s="208">
        <f t="shared" si="6"/>
        <v>54738</v>
      </c>
      <c r="F16" s="208">
        <f t="shared" si="6"/>
        <v>57486.36</v>
      </c>
      <c r="G16" s="208">
        <f t="shared" si="6"/>
        <v>60350.879999999997</v>
      </c>
      <c r="H16" s="208">
        <f t="shared" si="6"/>
        <v>63380.88</v>
      </c>
      <c r="I16" s="208">
        <f>I15*12</f>
        <v>66543.240000000005</v>
      </c>
      <c r="J16" s="201" t="s">
        <v>520</v>
      </c>
      <c r="K16" s="202"/>
      <c r="L16" s="202"/>
      <c r="M16" s="203" t="s">
        <v>456</v>
      </c>
      <c r="N16" s="204">
        <f>(I15-D15)/D15</f>
        <v>0.27627690523098458</v>
      </c>
      <c r="O16" s="209"/>
      <c r="P16" s="209"/>
      <c r="Q16" s="209"/>
      <c r="R16" s="209"/>
    </row>
    <row r="17" spans="1:18" x14ac:dyDescent="0.2">
      <c r="B17" s="447"/>
      <c r="C17" s="211"/>
      <c r="D17" s="166">
        <f t="shared" ref="D17:I17" si="7">D16/2080</f>
        <v>25.066615384615382</v>
      </c>
      <c r="E17" s="166">
        <f t="shared" si="7"/>
        <v>26.316346153846155</v>
      </c>
      <c r="F17" s="166">
        <f t="shared" si="7"/>
        <v>27.637673076923079</v>
      </c>
      <c r="G17" s="166">
        <f t="shared" si="7"/>
        <v>29.014846153846154</v>
      </c>
      <c r="H17" s="166">
        <f t="shared" si="7"/>
        <v>30.47157692307692</v>
      </c>
      <c r="I17" s="166">
        <f t="shared" si="7"/>
        <v>31.991942307692309</v>
      </c>
      <c r="J17" s="201" t="s">
        <v>11</v>
      </c>
      <c r="K17" s="202"/>
      <c r="L17" s="202"/>
    </row>
    <row r="18" spans="1:18" x14ac:dyDescent="0.2">
      <c r="B18" s="447"/>
      <c r="C18" s="211"/>
      <c r="D18" s="166"/>
      <c r="E18" s="166"/>
      <c r="F18" s="166"/>
      <c r="G18" s="166"/>
      <c r="H18" s="166"/>
      <c r="I18" s="166"/>
      <c r="J18" s="201"/>
      <c r="K18" s="202"/>
      <c r="L18" s="202"/>
    </row>
    <row r="19" spans="1:18" x14ac:dyDescent="0.2">
      <c r="A19" s="198" t="s">
        <v>433</v>
      </c>
      <c r="B19" s="198" t="s">
        <v>1032</v>
      </c>
      <c r="C19" s="201" t="s">
        <v>1033</v>
      </c>
      <c r="D19" s="200">
        <f>ROUND(4214.6*$L$1,2)</f>
        <v>4351.1499999999996</v>
      </c>
      <c r="E19" s="200">
        <f>ROUND(4424.78*$L$1,2)</f>
        <v>4568.1400000000003</v>
      </c>
      <c r="F19" s="200">
        <f>ROUND(4644.46*$L$1,2)</f>
        <v>4794.9399999999996</v>
      </c>
      <c r="G19" s="200">
        <f>ROUND(4876.35*$L$1,2)</f>
        <v>5034.34</v>
      </c>
      <c r="H19" s="200">
        <f>ROUND(5123.15*$L$1,2)</f>
        <v>5289.14</v>
      </c>
      <c r="I19" s="200">
        <f>ROUND(5378.09*$L$1,2)</f>
        <v>5552.34</v>
      </c>
      <c r="J19" s="201" t="s">
        <v>10</v>
      </c>
      <c r="K19" s="202"/>
      <c r="L19" s="202"/>
      <c r="M19" s="203" t="s">
        <v>455</v>
      </c>
      <c r="N19" s="204">
        <f>(E19-D19)/D19</f>
        <v>4.9869574710134264E-2</v>
      </c>
      <c r="O19" s="204">
        <f>(F19-E19)/E19</f>
        <v>4.9648215685158349E-2</v>
      </c>
      <c r="P19" s="204">
        <f>(G19-F19)/F19</f>
        <v>4.9927632045448027E-2</v>
      </c>
      <c r="Q19" s="204">
        <f>(H19-G19)/G19</f>
        <v>5.0612394077475933E-2</v>
      </c>
      <c r="R19" s="204">
        <f>(I19-H19)/H19</f>
        <v>4.9762343216477496E-2</v>
      </c>
    </row>
    <row r="20" spans="1:18" x14ac:dyDescent="0.2">
      <c r="A20" s="206"/>
      <c r="B20" s="447"/>
      <c r="C20" s="211"/>
      <c r="D20" s="208">
        <f t="shared" ref="D20:I20" si="8">D19*12</f>
        <v>52213.799999999996</v>
      </c>
      <c r="E20" s="208">
        <f t="shared" si="8"/>
        <v>54817.680000000008</v>
      </c>
      <c r="F20" s="208">
        <f t="shared" si="8"/>
        <v>57539.28</v>
      </c>
      <c r="G20" s="208">
        <f t="shared" si="8"/>
        <v>60412.08</v>
      </c>
      <c r="H20" s="208">
        <f t="shared" si="8"/>
        <v>63469.680000000008</v>
      </c>
      <c r="I20" s="208">
        <f t="shared" si="8"/>
        <v>66628.08</v>
      </c>
      <c r="J20" s="201" t="s">
        <v>520</v>
      </c>
      <c r="K20" s="202"/>
      <c r="L20" s="202"/>
      <c r="M20" s="203" t="s">
        <v>456</v>
      </c>
      <c r="N20" s="204">
        <f>(I19-D19)/D19</f>
        <v>0.27606265010399561</v>
      </c>
      <c r="O20" s="209"/>
      <c r="P20" s="209"/>
      <c r="Q20" s="209"/>
      <c r="R20" s="209"/>
    </row>
    <row r="21" spans="1:18" x14ac:dyDescent="0.2">
      <c r="A21" s="206"/>
      <c r="B21" s="198"/>
      <c r="C21" s="201"/>
      <c r="D21" s="166">
        <f t="shared" ref="D21:I21" si="9">D20/2080</f>
        <v>25.102788461538459</v>
      </c>
      <c r="E21" s="166">
        <f t="shared" si="9"/>
        <v>26.354653846153848</v>
      </c>
      <c r="F21" s="166">
        <f t="shared" si="9"/>
        <v>27.663115384615384</v>
      </c>
      <c r="G21" s="166">
        <f t="shared" si="9"/>
        <v>29.044269230769231</v>
      </c>
      <c r="H21" s="166">
        <f t="shared" si="9"/>
        <v>30.514269230769234</v>
      </c>
      <c r="I21" s="166">
        <f t="shared" si="9"/>
        <v>32.032730769230767</v>
      </c>
      <c r="J21" s="201" t="s">
        <v>11</v>
      </c>
      <c r="K21" s="202"/>
      <c r="L21" s="202"/>
      <c r="M21" s="202"/>
    </row>
    <row r="22" spans="1:18" x14ac:dyDescent="0.2">
      <c r="A22" s="206"/>
      <c r="B22" s="198"/>
      <c r="C22" s="201"/>
      <c r="D22" s="166"/>
      <c r="E22" s="166"/>
      <c r="F22" s="166"/>
      <c r="G22" s="166"/>
      <c r="H22" s="166"/>
      <c r="I22" s="166"/>
      <c r="J22" s="201"/>
      <c r="K22" s="202"/>
      <c r="L22" s="202"/>
      <c r="M22" s="202"/>
    </row>
    <row r="23" spans="1:18" x14ac:dyDescent="0.2">
      <c r="A23" s="198" t="s">
        <v>513</v>
      </c>
      <c r="B23" s="198" t="s">
        <v>322</v>
      </c>
      <c r="C23" s="201" t="s">
        <v>12</v>
      </c>
      <c r="D23" s="200">
        <f>ROUND(4259.37*$L$1,2)</f>
        <v>4397.37</v>
      </c>
      <c r="E23" s="200">
        <f>ROUND(4469.28*$L$1,2)</f>
        <v>4614.08</v>
      </c>
      <c r="F23" s="200">
        <f>ROUND(4692.48*$L$1,2)</f>
        <v>4844.5200000000004</v>
      </c>
      <c r="G23" s="200">
        <f>ROUND(4927.64*$L$1,2)</f>
        <v>5087.3</v>
      </c>
      <c r="H23" s="200">
        <f>ROUND(5177.42*$L$1,2)</f>
        <v>5345.17</v>
      </c>
      <c r="I23" s="200">
        <f>ROUND(5420.53*$L$1,2)</f>
        <v>5596.16</v>
      </c>
      <c r="J23" s="201" t="s">
        <v>10</v>
      </c>
      <c r="K23" s="202"/>
      <c r="L23" s="202"/>
      <c r="M23" s="203" t="s">
        <v>455</v>
      </c>
      <c r="N23" s="204">
        <f>(E23-D23)/D23</f>
        <v>4.9281729761198177E-2</v>
      </c>
      <c r="O23" s="204">
        <f>(F23-E23)/E23</f>
        <v>4.9942783826895182E-2</v>
      </c>
      <c r="P23" s="204">
        <f>(G23-F23)/F23</f>
        <v>5.0114356014630906E-2</v>
      </c>
      <c r="Q23" s="204">
        <f>(H23-G23)/G23</f>
        <v>5.0688970573781744E-2</v>
      </c>
      <c r="R23" s="204">
        <f>(I23-H23)/H23</f>
        <v>4.6956411115081427E-2</v>
      </c>
    </row>
    <row r="24" spans="1:18" x14ac:dyDescent="0.2">
      <c r="A24" s="206"/>
      <c r="B24" s="198"/>
      <c r="C24" s="201"/>
      <c r="D24" s="208">
        <f t="shared" ref="D24:I24" si="10">D23*12</f>
        <v>52768.44</v>
      </c>
      <c r="E24" s="208">
        <f t="shared" si="10"/>
        <v>55368.959999999999</v>
      </c>
      <c r="F24" s="208">
        <f t="shared" si="10"/>
        <v>58134.240000000005</v>
      </c>
      <c r="G24" s="208">
        <f t="shared" si="10"/>
        <v>61047.600000000006</v>
      </c>
      <c r="H24" s="208">
        <f t="shared" si="10"/>
        <v>64142.04</v>
      </c>
      <c r="I24" s="208">
        <f t="shared" si="10"/>
        <v>67153.919999999998</v>
      </c>
      <c r="J24" s="201" t="s">
        <v>520</v>
      </c>
      <c r="K24" s="202"/>
      <c r="L24" s="202"/>
      <c r="M24" s="203" t="s">
        <v>456</v>
      </c>
      <c r="N24" s="204">
        <f>(I23-D23)/D23</f>
        <v>0.27261522228059043</v>
      </c>
      <c r="O24" s="209"/>
      <c r="P24" s="209"/>
      <c r="Q24" s="209"/>
      <c r="R24" s="209"/>
    </row>
    <row r="25" spans="1:18" x14ac:dyDescent="0.2">
      <c r="A25" s="206"/>
      <c r="B25" s="198"/>
      <c r="C25" s="201"/>
      <c r="D25" s="215">
        <f t="shared" ref="D25:I25" si="11">D24/2080</f>
        <v>25.36944230769231</v>
      </c>
      <c r="E25" s="215">
        <f t="shared" si="11"/>
        <v>26.619692307692308</v>
      </c>
      <c r="F25" s="215">
        <f t="shared" si="11"/>
        <v>27.949153846153848</v>
      </c>
      <c r="G25" s="215">
        <f t="shared" si="11"/>
        <v>29.349807692307696</v>
      </c>
      <c r="H25" s="215">
        <f t="shared" si="11"/>
        <v>30.837519230769232</v>
      </c>
      <c r="I25" s="215">
        <f t="shared" si="11"/>
        <v>32.285538461538458</v>
      </c>
      <c r="J25" s="201" t="s">
        <v>11</v>
      </c>
      <c r="K25" s="202"/>
      <c r="L25" s="202"/>
      <c r="M25" s="202"/>
    </row>
    <row r="26" spans="1:18" x14ac:dyDescent="0.2">
      <c r="A26" s="206"/>
      <c r="B26" s="198"/>
      <c r="C26" s="201"/>
      <c r="D26" s="215"/>
      <c r="E26" s="215"/>
      <c r="F26" s="215"/>
      <c r="G26" s="215"/>
      <c r="H26" s="215"/>
      <c r="I26" s="215"/>
      <c r="J26" s="201"/>
      <c r="K26" s="202"/>
      <c r="L26" s="202"/>
      <c r="M26" s="202"/>
    </row>
    <row r="27" spans="1:18" x14ac:dyDescent="0.2">
      <c r="A27" s="198" t="s">
        <v>403</v>
      </c>
      <c r="B27" s="198" t="s">
        <v>324</v>
      </c>
      <c r="C27" s="207" t="s">
        <v>767</v>
      </c>
      <c r="D27" s="200"/>
      <c r="E27" s="200"/>
      <c r="F27" s="200"/>
      <c r="G27" s="200"/>
      <c r="H27" s="200"/>
      <c r="I27" s="200">
        <f>ROUND(I7*1.125,2)</f>
        <v>5865.17</v>
      </c>
      <c r="J27" s="201" t="s">
        <v>10</v>
      </c>
      <c r="K27" s="202"/>
      <c r="L27" s="202"/>
      <c r="M27" s="203" t="s">
        <v>455</v>
      </c>
      <c r="N27" s="204"/>
      <c r="O27" s="204"/>
      <c r="P27" s="204"/>
      <c r="Q27" s="204"/>
      <c r="R27" s="204"/>
    </row>
    <row r="28" spans="1:18" x14ac:dyDescent="0.2">
      <c r="A28" s="206"/>
      <c r="B28" s="198"/>
      <c r="C28" s="201"/>
      <c r="D28" s="200"/>
      <c r="E28" s="200"/>
      <c r="F28" s="200"/>
      <c r="G28" s="200"/>
      <c r="H28" s="200"/>
      <c r="I28" s="208">
        <f>I27*12</f>
        <v>70382.040000000008</v>
      </c>
      <c r="J28" s="201" t="s">
        <v>520</v>
      </c>
      <c r="K28" s="202"/>
      <c r="L28" s="202"/>
      <c r="M28" s="203" t="s">
        <v>456</v>
      </c>
      <c r="N28" s="204"/>
      <c r="O28" s="209"/>
      <c r="P28" s="209"/>
      <c r="Q28" s="209"/>
      <c r="R28" s="209"/>
    </row>
    <row r="29" spans="1:18" x14ac:dyDescent="0.2">
      <c r="A29" s="206"/>
      <c r="B29" s="198"/>
      <c r="C29" s="201"/>
      <c r="D29" s="200"/>
      <c r="E29" s="200"/>
      <c r="F29" s="200"/>
      <c r="G29" s="200"/>
      <c r="H29" s="200"/>
      <c r="I29" s="215">
        <f>I28/2080</f>
        <v>33.837519230769232</v>
      </c>
      <c r="J29" s="201" t="s">
        <v>11</v>
      </c>
      <c r="K29" s="202"/>
      <c r="L29" s="202"/>
      <c r="M29" s="202"/>
    </row>
    <row r="30" spans="1:18" x14ac:dyDescent="0.2">
      <c r="A30" s="206"/>
      <c r="B30" s="198"/>
      <c r="C30" s="201"/>
      <c r="D30" s="215"/>
      <c r="E30" s="215"/>
      <c r="F30" s="215"/>
      <c r="G30" s="215"/>
      <c r="H30" s="215"/>
      <c r="I30" s="215"/>
      <c r="J30" s="201"/>
      <c r="K30" s="202"/>
      <c r="L30" s="202"/>
      <c r="M30" s="202"/>
    </row>
    <row r="31" spans="1:18" x14ac:dyDescent="0.2">
      <c r="A31" s="198" t="s">
        <v>947</v>
      </c>
      <c r="B31" s="198" t="s">
        <v>948</v>
      </c>
      <c r="C31" s="201" t="s">
        <v>936</v>
      </c>
      <c r="D31" s="200">
        <f>ROUND(4696.72*$L$1,2)</f>
        <v>4848.8900000000003</v>
      </c>
      <c r="E31" s="200">
        <f>ROUND(4931.55*$L$1,2)</f>
        <v>5091.33</v>
      </c>
      <c r="F31" s="200">
        <f>ROUND(5178.12*$L$1,2)</f>
        <v>5345.89</v>
      </c>
      <c r="G31" s="200">
        <f>ROUND(5437.04*$L$1,2)</f>
        <v>5613.2</v>
      </c>
      <c r="H31" s="200">
        <f>ROUND(5708.89*$L$1,2)</f>
        <v>5893.86</v>
      </c>
      <c r="I31" s="200">
        <f>ROUND(5994.33*$L$1,2)</f>
        <v>6188.55</v>
      </c>
      <c r="J31" s="201" t="s">
        <v>10</v>
      </c>
      <c r="K31" s="202"/>
      <c r="L31" s="202"/>
      <c r="M31" s="203" t="s">
        <v>455</v>
      </c>
      <c r="N31" s="204">
        <f>(E31-D31)/D31</f>
        <v>4.9999071952549878E-2</v>
      </c>
      <c r="O31" s="204">
        <f>(F31-E31)/E31</f>
        <v>4.9998723319839886E-2</v>
      </c>
      <c r="P31" s="204">
        <f>(G31-F31)/F31</f>
        <v>5.0002899423669298E-2</v>
      </c>
      <c r="Q31" s="204">
        <f>(H31-G31)/G31</f>
        <v>4.9999999999999975E-2</v>
      </c>
      <c r="R31" s="204">
        <f>(I31-H31)/H31</f>
        <v>4.9999490995714276E-2</v>
      </c>
    </row>
    <row r="32" spans="1:18" x14ac:dyDescent="0.2">
      <c r="A32" s="206"/>
      <c r="B32" s="198" t="s">
        <v>946</v>
      </c>
      <c r="C32" s="213" t="s">
        <v>1034</v>
      </c>
      <c r="D32" s="208">
        <f t="shared" ref="D32:I32" si="12">D31*12</f>
        <v>58186.680000000008</v>
      </c>
      <c r="E32" s="208">
        <f t="shared" si="12"/>
        <v>61095.96</v>
      </c>
      <c r="F32" s="208">
        <f t="shared" si="12"/>
        <v>64150.680000000008</v>
      </c>
      <c r="G32" s="208">
        <f t="shared" si="12"/>
        <v>67358.399999999994</v>
      </c>
      <c r="H32" s="208">
        <f t="shared" si="12"/>
        <v>70726.319999999992</v>
      </c>
      <c r="I32" s="208">
        <f t="shared" si="12"/>
        <v>74262.600000000006</v>
      </c>
      <c r="J32" s="201" t="s">
        <v>520</v>
      </c>
      <c r="K32" s="202"/>
      <c r="L32" s="202"/>
      <c r="M32" s="203" t="s">
        <v>456</v>
      </c>
      <c r="N32" s="204">
        <f>(I31-D31)/D31</f>
        <v>0.27628178820307325</v>
      </c>
      <c r="O32" s="209"/>
      <c r="P32" s="209"/>
      <c r="Q32" s="209"/>
      <c r="R32" s="209"/>
    </row>
    <row r="33" spans="1:18" x14ac:dyDescent="0.2">
      <c r="A33" s="206"/>
      <c r="B33" s="206"/>
      <c r="C33" s="201"/>
      <c r="D33" s="215">
        <f t="shared" ref="D33:I33" si="13">D32/2080</f>
        <v>27.974365384615389</v>
      </c>
      <c r="E33" s="215">
        <f t="shared" si="13"/>
        <v>29.373057692307693</v>
      </c>
      <c r="F33" s="215">
        <f t="shared" si="13"/>
        <v>30.84167307692308</v>
      </c>
      <c r="G33" s="215">
        <f t="shared" si="13"/>
        <v>32.38384615384615</v>
      </c>
      <c r="H33" s="215">
        <f t="shared" si="13"/>
        <v>34.003038461538459</v>
      </c>
      <c r="I33" s="215">
        <f t="shared" si="13"/>
        <v>35.703173076923079</v>
      </c>
      <c r="J33" s="201" t="s">
        <v>11</v>
      </c>
      <c r="K33" s="202"/>
      <c r="L33" s="202"/>
      <c r="M33" s="202"/>
    </row>
    <row r="34" spans="1:18" x14ac:dyDescent="0.2">
      <c r="B34" s="447"/>
      <c r="C34" s="211"/>
      <c r="J34" s="211"/>
    </row>
    <row r="35" spans="1:18" x14ac:dyDescent="0.2">
      <c r="A35" s="198" t="s">
        <v>435</v>
      </c>
      <c r="B35" s="198" t="s">
        <v>438</v>
      </c>
      <c r="C35" s="201" t="s">
        <v>866</v>
      </c>
      <c r="D35" s="200">
        <f>ROUND(5134.59*$L$1,2)</f>
        <v>5300.95</v>
      </c>
      <c r="E35" s="200">
        <f>ROUND(5391.52*$L$1,2)</f>
        <v>5566.21</v>
      </c>
      <c r="F35" s="200">
        <f>ROUND(5661.47*$L$1,2)</f>
        <v>5844.9</v>
      </c>
      <c r="G35" s="200">
        <f>ROUND(5945.8*$L$1,2)</f>
        <v>6138.44</v>
      </c>
      <c r="H35" s="200">
        <f>ROUND(6241.85*$L$1,2)</f>
        <v>6444.09</v>
      </c>
      <c r="I35" s="200">
        <f>ROUND(6552.24*$L$1,2)</f>
        <v>6764.53</v>
      </c>
      <c r="J35" s="201" t="s">
        <v>10</v>
      </c>
      <c r="K35" s="202"/>
      <c r="L35" s="202"/>
      <c r="M35" s="203" t="s">
        <v>455</v>
      </c>
      <c r="N35" s="204">
        <f>(E35-D35)/D35</f>
        <v>5.0040087154189387E-2</v>
      </c>
      <c r="O35" s="204">
        <f>(F35-E35)/E35</f>
        <v>5.0068179245842254E-2</v>
      </c>
      <c r="P35" s="204">
        <f>(G35-F35)/F35</f>
        <v>5.0221560676829369E-2</v>
      </c>
      <c r="Q35" s="204">
        <f>(H35-G35)/G35</f>
        <v>4.9792781227803902E-2</v>
      </c>
      <c r="R35" s="204">
        <f>(I35-H35)/H35</f>
        <v>4.9726183215938885E-2</v>
      </c>
    </row>
    <row r="36" spans="1:18" x14ac:dyDescent="0.2">
      <c r="A36" s="206"/>
      <c r="B36" s="211"/>
      <c r="C36" s="211"/>
      <c r="D36" s="208">
        <f t="shared" ref="D36:I36" si="14">D35*12</f>
        <v>63611.399999999994</v>
      </c>
      <c r="E36" s="208">
        <f t="shared" si="14"/>
        <v>66794.52</v>
      </c>
      <c r="F36" s="208">
        <f t="shared" si="14"/>
        <v>70138.799999999988</v>
      </c>
      <c r="G36" s="208">
        <f t="shared" si="14"/>
        <v>73661.279999999999</v>
      </c>
      <c r="H36" s="208">
        <f t="shared" si="14"/>
        <v>77329.08</v>
      </c>
      <c r="I36" s="208">
        <f t="shared" si="14"/>
        <v>81174.36</v>
      </c>
      <c r="J36" s="201" t="s">
        <v>520</v>
      </c>
      <c r="K36" s="202"/>
      <c r="L36" s="202"/>
      <c r="M36" s="203" t="s">
        <v>456</v>
      </c>
      <c r="N36" s="204">
        <f>(I35-D35)/D35</f>
        <v>0.27609768060441997</v>
      </c>
      <c r="O36" s="209"/>
      <c r="P36" s="209"/>
      <c r="Q36" s="209"/>
      <c r="R36" s="209"/>
    </row>
    <row r="37" spans="1:18" x14ac:dyDescent="0.2">
      <c r="A37" s="206"/>
      <c r="B37" s="206"/>
      <c r="C37" s="201"/>
      <c r="D37" s="215">
        <f t="shared" ref="D37:I37" si="15">D36/2080</f>
        <v>30.582403846153845</v>
      </c>
      <c r="E37" s="215">
        <f t="shared" si="15"/>
        <v>32.112750000000005</v>
      </c>
      <c r="F37" s="215">
        <f t="shared" si="15"/>
        <v>33.720576923076919</v>
      </c>
      <c r="G37" s="215">
        <f t="shared" si="15"/>
        <v>35.414076923076919</v>
      </c>
      <c r="H37" s="215">
        <f t="shared" si="15"/>
        <v>37.17744230769231</v>
      </c>
      <c r="I37" s="215">
        <f t="shared" si="15"/>
        <v>39.026134615384613</v>
      </c>
      <c r="J37" s="201" t="s">
        <v>11</v>
      </c>
      <c r="K37" s="202"/>
      <c r="L37" s="202"/>
      <c r="M37" s="202"/>
    </row>
    <row r="38" spans="1:18" x14ac:dyDescent="0.2">
      <c r="B38" s="447"/>
      <c r="C38" s="211"/>
      <c r="J38" s="211"/>
    </row>
    <row r="39" spans="1:18" ht="14.25" customHeight="1" x14ac:dyDescent="0.2">
      <c r="A39" s="447" t="s">
        <v>888</v>
      </c>
      <c r="B39" s="447" t="s">
        <v>889</v>
      </c>
      <c r="C39" s="211" t="s">
        <v>890</v>
      </c>
      <c r="D39" s="217">
        <f>ROUND(5528.28*$L$1,2)</f>
        <v>5707.4</v>
      </c>
      <c r="E39" s="217">
        <f>ROUND(5804.7*$L$1,2)</f>
        <v>5992.77</v>
      </c>
      <c r="F39" s="217">
        <f>ROUND(6094.94*$L$1,2)</f>
        <v>6292.42</v>
      </c>
      <c r="G39" s="217">
        <f>ROUND(6399.67*$L$1,2)</f>
        <v>6607.02</v>
      </c>
      <c r="H39" s="217">
        <f>ROUND(6719.66*$L$1,2)</f>
        <v>6937.38</v>
      </c>
      <c r="I39" s="217">
        <f>ROUND(7055.64*$L$1,2)</f>
        <v>7284.24</v>
      </c>
      <c r="J39" s="201" t="s">
        <v>10</v>
      </c>
      <c r="M39" s="203" t="s">
        <v>455</v>
      </c>
      <c r="N39" s="204">
        <f>(E39-D39)/D39</f>
        <v>5.0000000000000142E-2</v>
      </c>
      <c r="O39" s="204">
        <f>(F39-E39)/E39</f>
        <v>5.0001918979036344E-2</v>
      </c>
      <c r="P39" s="204">
        <f>(G39-F39)/F39</f>
        <v>4.9996662651253472E-2</v>
      </c>
      <c r="Q39" s="204">
        <f>(H39-G39)/G39</f>
        <v>5.0001362187491433E-2</v>
      </c>
      <c r="R39" s="204">
        <f>(I39-H39)/H39</f>
        <v>4.9998702680262533E-2</v>
      </c>
    </row>
    <row r="40" spans="1:18" ht="14.25" customHeight="1" x14ac:dyDescent="0.2">
      <c r="B40" s="447"/>
      <c r="C40" s="211"/>
      <c r="D40" s="217">
        <f t="shared" ref="D40:I40" si="16">D39*12</f>
        <v>68488.799999999988</v>
      </c>
      <c r="E40" s="217">
        <f t="shared" si="16"/>
        <v>71913.240000000005</v>
      </c>
      <c r="F40" s="217">
        <f t="shared" si="16"/>
        <v>75509.040000000008</v>
      </c>
      <c r="G40" s="217">
        <f t="shared" si="16"/>
        <v>79284.240000000005</v>
      </c>
      <c r="H40" s="217">
        <f t="shared" si="16"/>
        <v>83248.56</v>
      </c>
      <c r="I40" s="217">
        <f t="shared" si="16"/>
        <v>87410.880000000005</v>
      </c>
      <c r="J40" s="201" t="s">
        <v>520</v>
      </c>
      <c r="M40" s="203" t="s">
        <v>456</v>
      </c>
      <c r="N40" s="204">
        <f>(I39-D39)/D39</f>
        <v>0.27627991730034696</v>
      </c>
      <c r="O40" s="209"/>
      <c r="P40" s="209"/>
      <c r="Q40" s="209"/>
      <c r="R40" s="209"/>
    </row>
    <row r="41" spans="1:18" ht="14.25" customHeight="1" x14ac:dyDescent="0.2">
      <c r="B41" s="447"/>
      <c r="C41" s="211"/>
      <c r="D41" s="217">
        <f t="shared" ref="D41:I41" si="17">D40/2080</f>
        <v>32.927307692307686</v>
      </c>
      <c r="E41" s="217">
        <f t="shared" si="17"/>
        <v>34.573673076923079</v>
      </c>
      <c r="F41" s="217">
        <f t="shared" si="17"/>
        <v>36.302423076923084</v>
      </c>
      <c r="G41" s="217">
        <f t="shared" si="17"/>
        <v>38.117423076923082</v>
      </c>
      <c r="H41" s="217">
        <f t="shared" si="17"/>
        <v>40.023346153846155</v>
      </c>
      <c r="I41" s="217">
        <f t="shared" si="17"/>
        <v>42.024461538461537</v>
      </c>
      <c r="J41" s="201" t="s">
        <v>11</v>
      </c>
    </row>
    <row r="42" spans="1:18" x14ac:dyDescent="0.2">
      <c r="B42" s="447"/>
      <c r="C42" s="211"/>
      <c r="J42" s="201"/>
    </row>
    <row r="43" spans="1:18" x14ac:dyDescent="0.2">
      <c r="A43" s="198" t="s">
        <v>436</v>
      </c>
      <c r="B43" s="198" t="s">
        <v>1035</v>
      </c>
      <c r="C43" s="207" t="s">
        <v>1038</v>
      </c>
      <c r="D43" s="200">
        <f>ROUND(5824.5*$L$1,2)</f>
        <v>6013.21</v>
      </c>
      <c r="E43" s="200">
        <f>ROUND(6115.73*$L$1,2)</f>
        <v>6313.88</v>
      </c>
      <c r="F43" s="200">
        <f>ROUND(6420.2*$L$1,2)</f>
        <v>6628.21</v>
      </c>
      <c r="G43" s="200">
        <f>ROUND(6740.54*$L$1,2)</f>
        <v>6958.93</v>
      </c>
      <c r="H43" s="200">
        <f>ROUND(7079.43*$L$1,2)</f>
        <v>7308.8</v>
      </c>
      <c r="I43" s="200">
        <f>ROUND(7432.86*$L$1,2)</f>
        <v>7673.68</v>
      </c>
      <c r="J43" s="201" t="s">
        <v>10</v>
      </c>
      <c r="K43" s="202"/>
      <c r="L43" s="202"/>
      <c r="M43" s="203" t="s">
        <v>455</v>
      </c>
      <c r="N43" s="204">
        <f>(E43-D43)/D43</f>
        <v>5.0001579855019213E-2</v>
      </c>
      <c r="O43" s="204">
        <f>(F43-E43)/E43</f>
        <v>4.9783968019664601E-2</v>
      </c>
      <c r="P43" s="204">
        <f>(G43-F43)/F43</f>
        <v>4.9895824061096473E-2</v>
      </c>
      <c r="Q43" s="204">
        <f>(H43-G43)/G43</f>
        <v>5.0276407436200661E-2</v>
      </c>
      <c r="R43" s="204">
        <f>(I43-H43)/H43</f>
        <v>4.9923380035026284E-2</v>
      </c>
    </row>
    <row r="44" spans="1:18" x14ac:dyDescent="0.2">
      <c r="A44" s="206"/>
      <c r="B44" s="447"/>
      <c r="C44" s="211"/>
      <c r="D44" s="208">
        <f t="shared" ref="D44:I44" si="18">D43*12</f>
        <v>72158.52</v>
      </c>
      <c r="E44" s="208">
        <f t="shared" si="18"/>
        <v>75766.559999999998</v>
      </c>
      <c r="F44" s="208">
        <f t="shared" si="18"/>
        <v>79538.52</v>
      </c>
      <c r="G44" s="208">
        <f t="shared" si="18"/>
        <v>83507.16</v>
      </c>
      <c r="H44" s="208">
        <f t="shared" si="18"/>
        <v>87705.600000000006</v>
      </c>
      <c r="I44" s="208">
        <f t="shared" si="18"/>
        <v>92084.160000000003</v>
      </c>
      <c r="J44" s="201" t="s">
        <v>520</v>
      </c>
      <c r="K44" s="202"/>
      <c r="L44" s="202"/>
      <c r="M44" s="203" t="s">
        <v>456</v>
      </c>
      <c r="N44" s="204">
        <f>(I43-D43)/D43</f>
        <v>0.27613703828737068</v>
      </c>
      <c r="O44" s="209"/>
      <c r="P44" s="209"/>
      <c r="Q44" s="209"/>
      <c r="R44" s="209"/>
    </row>
    <row r="45" spans="1:18" x14ac:dyDescent="0.2">
      <c r="A45" s="206"/>
      <c r="B45" s="447"/>
      <c r="C45" s="211"/>
      <c r="D45" s="215">
        <f t="shared" ref="D45:I45" si="19">D44/2080</f>
        <v>34.691596153846156</v>
      </c>
      <c r="E45" s="215">
        <f t="shared" si="19"/>
        <v>36.42623076923077</v>
      </c>
      <c r="F45" s="215">
        <f t="shared" si="19"/>
        <v>38.239673076923076</v>
      </c>
      <c r="G45" s="215">
        <f t="shared" si="19"/>
        <v>40.147673076923077</v>
      </c>
      <c r="H45" s="215">
        <f t="shared" si="19"/>
        <v>42.166153846153847</v>
      </c>
      <c r="I45" s="215">
        <f t="shared" si="19"/>
        <v>44.271230769230769</v>
      </c>
      <c r="J45" s="201" t="s">
        <v>11</v>
      </c>
      <c r="K45" s="202"/>
      <c r="L45" s="202"/>
      <c r="M45" s="202"/>
    </row>
    <row r="46" spans="1:18" ht="30.75" customHeight="1" x14ac:dyDescent="0.2">
      <c r="A46" s="670" t="s">
        <v>1036</v>
      </c>
      <c r="B46" s="670"/>
      <c r="C46" s="670"/>
      <c r="D46" s="670"/>
      <c r="E46" s="670"/>
      <c r="F46" s="670"/>
      <c r="G46" s="670"/>
      <c r="H46" s="670"/>
      <c r="I46" s="670"/>
      <c r="J46" s="670"/>
    </row>
    <row r="49" spans="1:18" x14ac:dyDescent="0.2">
      <c r="A49" s="198" t="s">
        <v>480</v>
      </c>
      <c r="D49" s="200">
        <f>3273.58136087472*1.0243</f>
        <v>3353.1293879439754</v>
      </c>
      <c r="E49" s="200">
        <f>3439.40481623844*1.0243</f>
        <v>3522.9823532730343</v>
      </c>
      <c r="F49" s="200">
        <f>3611.37963907455*1.0243</f>
        <v>3699.1361643040618</v>
      </c>
      <c r="G49" s="200">
        <f>3793.17144873345*1.0243</f>
        <v>3885.3455149376728</v>
      </c>
      <c r="H49" s="200">
        <f>3982.34031733503*1.0243</f>
        <v>4079.111187046271</v>
      </c>
      <c r="I49" s="200">
        <f>4232.93122017675*1.0243</f>
        <v>4335.7914488270444</v>
      </c>
      <c r="J49" s="201" t="s">
        <v>10</v>
      </c>
      <c r="K49" s="202"/>
      <c r="L49" s="202"/>
      <c r="M49" s="203" t="s">
        <v>455</v>
      </c>
      <c r="N49" s="204">
        <f>(E49-D49)/D49</f>
        <v>5.0655058507362551E-2</v>
      </c>
      <c r="O49" s="204">
        <f>(F49-E49)/E49</f>
        <v>5.0001332214273359E-2</v>
      </c>
      <c r="P49" s="204">
        <f>(G49-F49)/F49</f>
        <v>5.0338604031528941E-2</v>
      </c>
      <c r="Q49" s="204">
        <f>(H49-G49)/G49</f>
        <v>4.9870898576109393E-2</v>
      </c>
      <c r="R49" s="204">
        <f>(I49-H49)/H49</f>
        <v>6.2925536964006712E-2</v>
      </c>
    </row>
    <row r="50" spans="1:18" x14ac:dyDescent="0.2">
      <c r="A50" s="206"/>
      <c r="B50" s="206"/>
      <c r="C50" s="207"/>
      <c r="D50" s="208">
        <f t="shared" ref="D50:I50" si="20">D49*12</f>
        <v>40237.552655327701</v>
      </c>
      <c r="E50" s="208">
        <f t="shared" si="20"/>
        <v>42275.788239276415</v>
      </c>
      <c r="F50" s="208">
        <f t="shared" si="20"/>
        <v>44389.633971648742</v>
      </c>
      <c r="G50" s="208">
        <f t="shared" si="20"/>
        <v>46624.146179252071</v>
      </c>
      <c r="H50" s="208">
        <f t="shared" si="20"/>
        <v>48949.334244555255</v>
      </c>
      <c r="I50" s="208">
        <f t="shared" si="20"/>
        <v>52029.497385924537</v>
      </c>
      <c r="J50" s="201" t="s">
        <v>520</v>
      </c>
      <c r="K50" s="202"/>
      <c r="L50" s="202"/>
      <c r="M50" s="203" t="s">
        <v>456</v>
      </c>
      <c r="N50" s="204" t="s">
        <v>1090</v>
      </c>
      <c r="O50" s="209"/>
      <c r="P50" s="209"/>
      <c r="Q50" s="209"/>
      <c r="R50" s="209"/>
    </row>
    <row r="51" spans="1:18" x14ac:dyDescent="0.2">
      <c r="A51" s="206"/>
      <c r="B51" s="206"/>
      <c r="C51" s="201"/>
      <c r="D51" s="166">
        <f t="shared" ref="D51:I51" si="21">D50/2080</f>
        <v>19.344977238138316</v>
      </c>
      <c r="E51" s="166">
        <f t="shared" si="21"/>
        <v>20.324898191959814</v>
      </c>
      <c r="F51" s="166">
        <f t="shared" si="21"/>
        <v>21.341170178677281</v>
      </c>
      <c r="G51" s="166">
        <f t="shared" si="21"/>
        <v>22.415454893871189</v>
      </c>
      <c r="H51" s="166">
        <f t="shared" si="21"/>
        <v>23.533333771420796</v>
      </c>
      <c r="I51" s="166">
        <f t="shared" si="21"/>
        <v>25.014181435540642</v>
      </c>
      <c r="J51" s="201" t="s">
        <v>11</v>
      </c>
      <c r="K51" s="202"/>
      <c r="L51" s="202"/>
      <c r="M51" s="202"/>
    </row>
    <row r="56" spans="1:18" x14ac:dyDescent="0.2">
      <c r="A56" s="671" t="s">
        <v>893</v>
      </c>
      <c r="B56" s="671"/>
      <c r="C56" s="671"/>
    </row>
    <row r="57" spans="1:18" x14ac:dyDescent="0.2">
      <c r="A57" s="198" t="s">
        <v>404</v>
      </c>
      <c r="B57" s="218" t="s">
        <v>321</v>
      </c>
      <c r="C57" s="219" t="s">
        <v>861</v>
      </c>
      <c r="D57" s="200">
        <f>3479.71*1.0558</f>
        <v>3673.8778180000004</v>
      </c>
      <c r="E57" s="200">
        <f>3651.32*1.0558</f>
        <v>3855.0636560000003</v>
      </c>
      <c r="F57" s="200">
        <f>3834*1.0558</f>
        <v>4047.9372000000003</v>
      </c>
      <c r="G57" s="200">
        <f>4025.53*1.0558</f>
        <v>4250.1545740000001</v>
      </c>
      <c r="H57" s="200">
        <f>4227.03*1.0558</f>
        <v>4462.8982740000001</v>
      </c>
      <c r="I57" s="200">
        <f>4438.49*1.0558</f>
        <v>4686.1577420000003</v>
      </c>
      <c r="J57" s="202" t="s">
        <v>10</v>
      </c>
      <c r="K57" s="202"/>
      <c r="L57" s="202"/>
      <c r="M57" s="203" t="s">
        <v>455</v>
      </c>
      <c r="N57" s="204">
        <f>(E57-D57)/D57</f>
        <v>4.9317328168151903E-2</v>
      </c>
      <c r="O57" s="204">
        <f>(F57-E57)/E57</f>
        <v>5.003122158561836E-2</v>
      </c>
      <c r="P57" s="204">
        <f>(G57-F57)/F57</f>
        <v>4.9955659885237307E-2</v>
      </c>
      <c r="Q57" s="204">
        <f>(H57-G57)/G57</f>
        <v>5.0055520639518271E-2</v>
      </c>
      <c r="R57" s="204">
        <f>(I57-H57)/H57</f>
        <v>5.0025668140514776E-2</v>
      </c>
    </row>
    <row r="58" spans="1:18" x14ac:dyDescent="0.2">
      <c r="A58" s="206"/>
      <c r="B58" s="218"/>
      <c r="C58" s="202"/>
      <c r="D58" s="208">
        <f t="shared" ref="D58:I58" si="22">D57*12</f>
        <v>44086.533816000003</v>
      </c>
      <c r="E58" s="208">
        <f t="shared" si="22"/>
        <v>46260.763872000003</v>
      </c>
      <c r="F58" s="208">
        <f t="shared" si="22"/>
        <v>48575.246400000004</v>
      </c>
      <c r="G58" s="208">
        <f t="shared" si="22"/>
        <v>51001.854888000002</v>
      </c>
      <c r="H58" s="208">
        <f t="shared" si="22"/>
        <v>53554.779288000005</v>
      </c>
      <c r="I58" s="208">
        <f t="shared" si="22"/>
        <v>56233.892904000008</v>
      </c>
      <c r="J58" s="202" t="s">
        <v>520</v>
      </c>
      <c r="K58" s="202"/>
      <c r="L58" s="202"/>
      <c r="M58" s="203" t="s">
        <v>456</v>
      </c>
      <c r="N58" s="204">
        <f>(I57-D57)/D57</f>
        <v>0.275534455457495</v>
      </c>
      <c r="O58" s="209"/>
      <c r="P58" s="209"/>
      <c r="Q58" s="209"/>
      <c r="R58" s="209"/>
    </row>
    <row r="59" spans="1:18" x14ac:dyDescent="0.2">
      <c r="A59" s="206"/>
      <c r="B59" s="218"/>
      <c r="C59" s="202"/>
      <c r="D59" s="215">
        <f t="shared" ref="D59:I59" si="23">D58/2080</f>
        <v>21.195448950000003</v>
      </c>
      <c r="E59" s="215">
        <f t="shared" si="23"/>
        <v>22.240751861538463</v>
      </c>
      <c r="F59" s="215">
        <f t="shared" si="23"/>
        <v>23.353483846153846</v>
      </c>
      <c r="G59" s="215">
        <f t="shared" si="23"/>
        <v>24.520122542307693</v>
      </c>
      <c r="H59" s="215">
        <f t="shared" si="23"/>
        <v>25.747490042307696</v>
      </c>
      <c r="I59" s="215">
        <f t="shared" si="23"/>
        <v>27.035525434615387</v>
      </c>
      <c r="J59" s="202" t="s">
        <v>11</v>
      </c>
      <c r="K59" s="202"/>
      <c r="L59" s="202"/>
      <c r="M59" s="202"/>
    </row>
    <row r="61" spans="1:18" x14ac:dyDescent="0.2">
      <c r="A61" s="198" t="s">
        <v>405</v>
      </c>
      <c r="B61" s="218" t="s">
        <v>323</v>
      </c>
      <c r="C61" s="219" t="s">
        <v>862</v>
      </c>
      <c r="D61" s="200"/>
      <c r="E61" s="200"/>
      <c r="F61" s="200"/>
      <c r="G61" s="200"/>
      <c r="H61" s="200"/>
      <c r="I61" s="200">
        <f>5103.88*1.0558</f>
        <v>5388.6765040000009</v>
      </c>
      <c r="J61" s="202" t="s">
        <v>10</v>
      </c>
      <c r="K61" s="202"/>
      <c r="L61" s="202"/>
      <c r="M61" s="203" t="s">
        <v>455</v>
      </c>
      <c r="N61" s="204"/>
      <c r="O61" s="204"/>
      <c r="P61" s="204"/>
      <c r="Q61" s="204"/>
      <c r="R61" s="204"/>
    </row>
    <row r="62" spans="1:18" x14ac:dyDescent="0.2">
      <c r="A62" s="206"/>
      <c r="B62" s="220"/>
      <c r="C62" s="202"/>
      <c r="D62" s="200"/>
      <c r="E62" s="200"/>
      <c r="F62" s="200"/>
      <c r="G62" s="200"/>
      <c r="H62" s="200"/>
      <c r="I62" s="208">
        <f>I61*12</f>
        <v>64664.118048000011</v>
      </c>
      <c r="J62" s="202" t="s">
        <v>520</v>
      </c>
      <c r="K62" s="202"/>
      <c r="L62" s="202"/>
      <c r="M62" s="203" t="s">
        <v>456</v>
      </c>
      <c r="N62" s="204"/>
      <c r="O62" s="209"/>
      <c r="P62" s="209"/>
      <c r="Q62" s="209"/>
      <c r="R62" s="209"/>
    </row>
    <row r="63" spans="1:18" x14ac:dyDescent="0.2">
      <c r="A63" s="206"/>
      <c r="B63" s="218"/>
      <c r="C63" s="202"/>
      <c r="D63" s="200"/>
      <c r="E63" s="200"/>
      <c r="F63" s="200"/>
      <c r="G63" s="200"/>
      <c r="H63" s="200"/>
      <c r="I63" s="215">
        <f>I62/2080</f>
        <v>31.088518292307697</v>
      </c>
      <c r="J63" s="202" t="s">
        <v>11</v>
      </c>
      <c r="K63" s="202"/>
      <c r="L63" s="202"/>
      <c r="M63" s="202"/>
    </row>
    <row r="65" spans="1:18" x14ac:dyDescent="0.2">
      <c r="A65" s="198" t="s">
        <v>437</v>
      </c>
      <c r="B65" s="218" t="s">
        <v>327</v>
      </c>
      <c r="C65" s="219" t="s">
        <v>863</v>
      </c>
      <c r="D65" s="200">
        <f>4696.31*1.0558</f>
        <v>4958.3640980000009</v>
      </c>
      <c r="E65" s="200">
        <f>4930.37*1.0558</f>
        <v>5205.4846459999999</v>
      </c>
      <c r="F65" s="200">
        <f>5177.12*1.0558</f>
        <v>5466.0032959999999</v>
      </c>
      <c r="G65" s="200">
        <f>5436.56*1.0558</f>
        <v>5739.9200480000009</v>
      </c>
      <c r="H65" s="200">
        <f>5707.52*1.0558</f>
        <v>6025.999616000001</v>
      </c>
      <c r="I65" s="200">
        <f>5991.17*1.0558</f>
        <v>6325.4772860000003</v>
      </c>
      <c r="J65" s="202" t="s">
        <v>10</v>
      </c>
      <c r="K65" s="202"/>
      <c r="L65" s="202"/>
      <c r="M65" s="203" t="s">
        <v>455</v>
      </c>
      <c r="N65" s="204">
        <f>(E65-D65)/D65</f>
        <v>4.9839129018314159E-2</v>
      </c>
      <c r="O65" s="204">
        <f>(F65-E65)/E65</f>
        <v>5.0046953879729107E-2</v>
      </c>
      <c r="P65" s="204">
        <f>(G65-F65)/F65</f>
        <v>5.0112804030040051E-2</v>
      </c>
      <c r="Q65" s="204">
        <f>(H65-G65)/G65</f>
        <v>4.9840340215136052E-2</v>
      </c>
      <c r="R65" s="204">
        <f>(I65-H65)/H65</f>
        <v>4.9697591948867338E-2</v>
      </c>
    </row>
    <row r="66" spans="1:18" x14ac:dyDescent="0.2">
      <c r="A66" s="206"/>
      <c r="B66" s="220"/>
      <c r="C66" s="202"/>
      <c r="D66" s="208">
        <f t="shared" ref="D66:I66" si="24">D65*12</f>
        <v>59500.369176000007</v>
      </c>
      <c r="E66" s="208">
        <f t="shared" si="24"/>
        <v>62465.815751999995</v>
      </c>
      <c r="F66" s="208">
        <f t="shared" si="24"/>
        <v>65592.039552000002</v>
      </c>
      <c r="G66" s="208">
        <f t="shared" si="24"/>
        <v>68879.040576000014</v>
      </c>
      <c r="H66" s="208">
        <f t="shared" si="24"/>
        <v>72311.995392000012</v>
      </c>
      <c r="I66" s="208">
        <f t="shared" si="24"/>
        <v>75905.727432</v>
      </c>
      <c r="J66" s="202" t="s">
        <v>520</v>
      </c>
      <c r="K66" s="202"/>
      <c r="L66" s="202"/>
      <c r="M66" s="203" t="s">
        <v>456</v>
      </c>
      <c r="N66" s="204">
        <f>(I65-D65)/D65</f>
        <v>0.27571859608926991</v>
      </c>
      <c r="O66" s="209"/>
      <c r="P66" s="209"/>
      <c r="Q66" s="209"/>
      <c r="R66" s="209"/>
    </row>
    <row r="67" spans="1:18" x14ac:dyDescent="0.2">
      <c r="A67" s="206"/>
      <c r="B67" s="220"/>
      <c r="C67" s="202"/>
      <c r="D67" s="215">
        <f t="shared" ref="D67:I67" si="25">D66/2080</f>
        <v>28.605946719230772</v>
      </c>
      <c r="E67" s="215">
        <f t="shared" si="25"/>
        <v>30.031642188461536</v>
      </c>
      <c r="F67" s="215">
        <f t="shared" si="25"/>
        <v>31.534634400000002</v>
      </c>
      <c r="G67" s="215">
        <f t="shared" si="25"/>
        <v>33.114923353846159</v>
      </c>
      <c r="H67" s="215">
        <f t="shared" si="25"/>
        <v>34.765382400000007</v>
      </c>
      <c r="I67" s="215">
        <f t="shared" si="25"/>
        <v>36.493138188461536</v>
      </c>
      <c r="J67" s="202" t="s">
        <v>11</v>
      </c>
      <c r="K67" s="202"/>
      <c r="L67" s="202"/>
      <c r="M67" s="202"/>
    </row>
    <row r="68" spans="1:18" ht="34.5" customHeight="1" x14ac:dyDescent="0.2">
      <c r="A68" s="206"/>
      <c r="B68" s="220"/>
      <c r="C68" s="202"/>
      <c r="D68" s="215"/>
      <c r="E68" s="215"/>
      <c r="F68" s="215"/>
      <c r="G68" s="215"/>
      <c r="H68" s="215"/>
      <c r="I68" s="215"/>
      <c r="J68" s="202"/>
      <c r="K68" s="202"/>
      <c r="L68" s="202"/>
      <c r="M68" s="202"/>
    </row>
    <row r="69" spans="1:18" s="211" customFormat="1" x14ac:dyDescent="0.2">
      <c r="A69" s="198" t="s">
        <v>764</v>
      </c>
      <c r="B69" s="218" t="s">
        <v>326</v>
      </c>
      <c r="C69" s="221" t="s">
        <v>864</v>
      </c>
      <c r="D69" s="169">
        <f>4718.25*1.0558</f>
        <v>4981.5283500000005</v>
      </c>
      <c r="E69" s="169">
        <f>4954.16*1.0558</f>
        <v>5230.6021280000004</v>
      </c>
      <c r="F69" s="169">
        <f>5200.8*1.0558</f>
        <v>5491.004640000001</v>
      </c>
      <c r="G69" s="169">
        <f>5460.3*1.0558</f>
        <v>5764.9847400000008</v>
      </c>
      <c r="H69" s="169">
        <f>5734.82*1.0558</f>
        <v>6054.822956</v>
      </c>
      <c r="I69" s="169">
        <f>6021.13*1.0558</f>
        <v>6357.1090540000005</v>
      </c>
      <c r="J69" s="202" t="s">
        <v>10</v>
      </c>
      <c r="K69" s="202"/>
      <c r="M69" s="203" t="s">
        <v>455</v>
      </c>
      <c r="N69" s="204">
        <f>(E69-D69)/D69</f>
        <v>4.9999470142531643E-2</v>
      </c>
      <c r="O69" s="204">
        <f>(F69-E69)/E69</f>
        <v>4.9784423595523868E-2</v>
      </c>
      <c r="P69" s="204">
        <f>(G69-F69)/F69</f>
        <v>4.9896169820027633E-2</v>
      </c>
      <c r="Q69" s="204">
        <f>(H69-G69)/G69</f>
        <v>5.0275625881361682E-2</v>
      </c>
      <c r="R69" s="204">
        <f>(I69-H69)/H69</f>
        <v>4.9924845069243752E-2</v>
      </c>
    </row>
    <row r="70" spans="1:18" x14ac:dyDescent="0.2">
      <c r="D70" s="208">
        <f t="shared" ref="D70:I70" si="26">D69*12</f>
        <v>59778.340200000006</v>
      </c>
      <c r="E70" s="208">
        <f t="shared" si="26"/>
        <v>62767.225536000005</v>
      </c>
      <c r="F70" s="208">
        <f t="shared" si="26"/>
        <v>65892.055680000019</v>
      </c>
      <c r="G70" s="208">
        <f t="shared" si="26"/>
        <v>69179.816880000013</v>
      </c>
      <c r="H70" s="208">
        <f t="shared" si="26"/>
        <v>72657.875472</v>
      </c>
      <c r="I70" s="208">
        <f t="shared" si="26"/>
        <v>76285.308648000006</v>
      </c>
      <c r="J70" s="202" t="s">
        <v>520</v>
      </c>
      <c r="K70" s="202"/>
      <c r="M70" s="203" t="s">
        <v>456</v>
      </c>
      <c r="N70" s="204">
        <f>(I69-D69)/D69</f>
        <v>0.27613627934085727</v>
      </c>
      <c r="O70" s="209"/>
      <c r="P70" s="209"/>
      <c r="Q70" s="209"/>
      <c r="R70" s="209"/>
    </row>
    <row r="71" spans="1:18" x14ac:dyDescent="0.2">
      <c r="D71" s="215">
        <f t="shared" ref="D71:I71" si="27">D70/2080</f>
        <v>28.739586634615389</v>
      </c>
      <c r="E71" s="215">
        <f t="shared" si="27"/>
        <v>30.17655073846154</v>
      </c>
      <c r="F71" s="215">
        <f t="shared" si="27"/>
        <v>31.678872923076934</v>
      </c>
      <c r="G71" s="215">
        <f t="shared" si="27"/>
        <v>33.259527346153853</v>
      </c>
      <c r="H71" s="215">
        <f>H70/2080</f>
        <v>34.9316709</v>
      </c>
      <c r="I71" s="215">
        <f t="shared" si="27"/>
        <v>36.675629157692313</v>
      </c>
      <c r="J71" s="202" t="s">
        <v>11</v>
      </c>
      <c r="K71" s="202"/>
      <c r="L71" s="202"/>
      <c r="M71" s="202"/>
    </row>
    <row r="72" spans="1:18" x14ac:dyDescent="0.2">
      <c r="A72" s="222" t="s">
        <v>865</v>
      </c>
    </row>
    <row r="74" spans="1:18" x14ac:dyDescent="0.2">
      <c r="A74" s="198" t="s">
        <v>434</v>
      </c>
      <c r="B74" s="198" t="s">
        <v>325</v>
      </c>
      <c r="C74" s="201" t="s">
        <v>933</v>
      </c>
      <c r="D74" s="200">
        <f>4356.19530028911*1.0198</f>
        <v>4442.4479672348343</v>
      </c>
      <c r="E74" s="200">
        <f>4573.16807832598*1.0198</f>
        <v>4663.7168062768342</v>
      </c>
      <c r="F74" s="200">
        <f>4801.70731608015*1.0198</f>
        <v>4896.7811209385372</v>
      </c>
      <c r="G74" s="200">
        <f>5041.79042281*1.0198</f>
        <v>5141.6178731816381</v>
      </c>
      <c r="H74" s="200">
        <f>5293.42869388632*1.0198</f>
        <v>5398.2385820252694</v>
      </c>
      <c r="I74" s="200">
        <f>5559.18617848476*1.0198</f>
        <v>5669.2580648187577</v>
      </c>
      <c r="J74" s="201" t="s">
        <v>10</v>
      </c>
    </row>
    <row r="75" spans="1:18" x14ac:dyDescent="0.2">
      <c r="A75" s="206"/>
      <c r="B75" s="198"/>
      <c r="C75" s="201"/>
      <c r="D75" s="208">
        <f t="shared" ref="D75:I75" si="28">D74*12</f>
        <v>53309.375606818008</v>
      </c>
      <c r="E75" s="208">
        <f t="shared" si="28"/>
        <v>55964.60167532201</v>
      </c>
      <c r="F75" s="208">
        <f t="shared" si="28"/>
        <v>58761.373451262451</v>
      </c>
      <c r="G75" s="208">
        <f t="shared" si="28"/>
        <v>61699.414478179657</v>
      </c>
      <c r="H75" s="208">
        <f t="shared" si="28"/>
        <v>64778.862984303232</v>
      </c>
      <c r="I75" s="208">
        <f t="shared" si="28"/>
        <v>68031.096777825092</v>
      </c>
      <c r="J75" s="201" t="s">
        <v>520</v>
      </c>
    </row>
    <row r="76" spans="1:18" x14ac:dyDescent="0.2">
      <c r="A76" s="206"/>
      <c r="B76" s="198"/>
      <c r="C76" s="201"/>
      <c r="D76" s="215">
        <f t="shared" ref="D76:I76" si="29">D75/2080</f>
        <v>25.629507503277889</v>
      </c>
      <c r="E76" s="215">
        <f t="shared" si="29"/>
        <v>26.906058497750966</v>
      </c>
      <c r="F76" s="215">
        <f t="shared" si="29"/>
        <v>28.250660313106948</v>
      </c>
      <c r="G76" s="215">
        <f t="shared" si="29"/>
        <v>29.663180037586372</v>
      </c>
      <c r="H76" s="215">
        <f t="shared" si="29"/>
        <v>31.143684127068862</v>
      </c>
      <c r="I76" s="215">
        <f t="shared" si="29"/>
        <v>32.707258066262064</v>
      </c>
      <c r="J76" s="201" t="s">
        <v>11</v>
      </c>
    </row>
    <row r="78" spans="1:18" x14ac:dyDescent="0.2">
      <c r="A78" s="447" t="s">
        <v>507</v>
      </c>
      <c r="B78" s="223" t="s">
        <v>517</v>
      </c>
      <c r="C78" s="211" t="s">
        <v>934</v>
      </c>
      <c r="D78" s="200">
        <f>3908.57105015516*1.0198</f>
        <v>3985.9607569482323</v>
      </c>
      <c r="E78" s="200">
        <f>4103.43878750183*1.0198</f>
        <v>4184.6868754943662</v>
      </c>
      <c r="F78" s="200">
        <f>4309.47764658718*1.0198</f>
        <v>4394.8053039896067</v>
      </c>
      <c r="G78" s="200">
        <f>4524.21394120215*1.0198</f>
        <v>4613.7933772379529</v>
      </c>
      <c r="H78" s="200">
        <f>4751.35255297492*1.0198</f>
        <v>4845.4293335238244</v>
      </c>
      <c r="I78" s="200">
        <f>4988.41979569644*1.0198</f>
        <v>5087.1905076512294</v>
      </c>
      <c r="J78" s="201" t="s">
        <v>10</v>
      </c>
    </row>
    <row r="79" spans="1:18" x14ac:dyDescent="0.2">
      <c r="B79" s="447"/>
      <c r="C79" s="211"/>
      <c r="D79" s="208">
        <f t="shared" ref="D79:I79" si="30">D78*12</f>
        <v>47831.529083378788</v>
      </c>
      <c r="E79" s="208">
        <f t="shared" si="30"/>
        <v>50216.242505932394</v>
      </c>
      <c r="F79" s="208">
        <f t="shared" si="30"/>
        <v>52737.663647875277</v>
      </c>
      <c r="G79" s="208">
        <f t="shared" si="30"/>
        <v>55365.520526855435</v>
      </c>
      <c r="H79" s="208">
        <f t="shared" si="30"/>
        <v>58145.152002285889</v>
      </c>
      <c r="I79" s="208">
        <f t="shared" si="30"/>
        <v>61046.286091814749</v>
      </c>
      <c r="J79" s="201" t="s">
        <v>520</v>
      </c>
    </row>
    <row r="80" spans="1:18" x14ac:dyDescent="0.2">
      <c r="B80" s="447"/>
      <c r="C80" s="211"/>
      <c r="D80" s="166">
        <f t="shared" ref="D80:I80" si="31">D79/2080</f>
        <v>22.995927443932111</v>
      </c>
      <c r="E80" s="166">
        <f t="shared" si="31"/>
        <v>24.142424281698265</v>
      </c>
      <c r="F80" s="166">
        <f t="shared" si="31"/>
        <v>25.354645984555422</v>
      </c>
      <c r="G80" s="166">
        <f t="shared" si="31"/>
        <v>26.618038714834345</v>
      </c>
      <c r="H80" s="166">
        <f t="shared" si="31"/>
        <v>27.954400001098985</v>
      </c>
      <c r="I80" s="166">
        <f t="shared" si="31"/>
        <v>29.349176005680167</v>
      </c>
      <c r="J80" s="201" t="s">
        <v>11</v>
      </c>
    </row>
    <row r="81" spans="1:18" x14ac:dyDescent="0.2">
      <c r="A81" s="222" t="s">
        <v>935</v>
      </c>
    </row>
    <row r="83" spans="1:18" x14ac:dyDescent="0.2">
      <c r="A83" s="198" t="s">
        <v>945</v>
      </c>
      <c r="B83" s="198"/>
      <c r="C83" s="213" t="s">
        <v>1037</v>
      </c>
      <c r="D83" s="200">
        <f>4274.8830769856*$L$1</f>
        <v>4413.389288679934</v>
      </c>
      <c r="E83" s="200">
        <f>4488.62723083489*$L$1</f>
        <v>4634.0587531139399</v>
      </c>
      <c r="F83" s="200">
        <f>4713.05859237663*$L$1</f>
        <v>4865.7616907696329</v>
      </c>
      <c r="G83" s="200">
        <f>4948.71152199546*$L$1</f>
        <v>5109.0497753081136</v>
      </c>
      <c r="H83" s="200">
        <f>5196.14709809523*$L$1</f>
        <v>5364.5022640735151</v>
      </c>
      <c r="I83" s="200">
        <f>5455.954453*$L$1</f>
        <v>5632.7273772772005</v>
      </c>
      <c r="J83" s="201" t="s">
        <v>10</v>
      </c>
      <c r="K83" s="202"/>
      <c r="L83" s="202"/>
      <c r="M83" s="203" t="s">
        <v>455</v>
      </c>
      <c r="N83" s="204">
        <f>(E83-D83)/D83</f>
        <v>5.0000000000002091E-2</v>
      </c>
      <c r="O83" s="204">
        <f>(F83-E83)/E83</f>
        <v>4.9999999999999128E-2</v>
      </c>
      <c r="P83" s="204">
        <f>(G83-F83)/F83</f>
        <v>4.9999999999999802E-2</v>
      </c>
      <c r="Q83" s="204">
        <f>(H83-G83)/G83</f>
        <v>4.9999999999999191E-2</v>
      </c>
      <c r="R83" s="204">
        <f>(I83-H83)/H83</f>
        <v>5.00000000000018E-2</v>
      </c>
    </row>
    <row r="84" spans="1:18" x14ac:dyDescent="0.2">
      <c r="A84" s="206"/>
      <c r="B84" s="198"/>
      <c r="C84" s="201"/>
      <c r="D84" s="208">
        <f t="shared" ref="D84:I84" si="32">D83*12</f>
        <v>52960.671464159212</v>
      </c>
      <c r="E84" s="208">
        <f t="shared" si="32"/>
        <v>55608.705037367283</v>
      </c>
      <c r="F84" s="208">
        <f t="shared" si="32"/>
        <v>58389.140289235598</v>
      </c>
      <c r="G84" s="208">
        <f t="shared" si="32"/>
        <v>61308.597303697359</v>
      </c>
      <c r="H84" s="208">
        <f t="shared" si="32"/>
        <v>64374.027168882181</v>
      </c>
      <c r="I84" s="208">
        <f t="shared" si="32"/>
        <v>67592.728527326399</v>
      </c>
      <c r="J84" s="201" t="s">
        <v>520</v>
      </c>
      <c r="K84" s="202"/>
      <c r="L84" s="202"/>
      <c r="M84" s="203" t="s">
        <v>456</v>
      </c>
      <c r="N84" s="204">
        <f>(I83-D83)/D83</f>
        <v>0.27628156250000246</v>
      </c>
      <c r="O84" s="209"/>
      <c r="P84" s="209"/>
      <c r="Q84" s="209"/>
      <c r="R84" s="209"/>
    </row>
    <row r="85" spans="1:18" x14ac:dyDescent="0.2">
      <c r="A85" s="206"/>
      <c r="B85" s="198"/>
      <c r="C85" s="201"/>
      <c r="D85" s="215">
        <f t="shared" ref="D85:I85" si="33">D84/2080</f>
        <v>25.461861280845774</v>
      </c>
      <c r="E85" s="215">
        <f t="shared" si="33"/>
        <v>26.734954344888116</v>
      </c>
      <c r="F85" s="215">
        <f t="shared" si="33"/>
        <v>28.071702062132498</v>
      </c>
      <c r="G85" s="215">
        <f t="shared" si="33"/>
        <v>29.475287165239116</v>
      </c>
      <c r="H85" s="215">
        <f t="shared" si="33"/>
        <v>30.949051523501048</v>
      </c>
      <c r="I85" s="215">
        <f t="shared" si="33"/>
        <v>32.496504099676152</v>
      </c>
      <c r="J85" s="201" t="s">
        <v>11</v>
      </c>
      <c r="K85" s="202"/>
      <c r="L85" s="202"/>
      <c r="M85" s="202"/>
    </row>
  </sheetData>
  <mergeCells count="7">
    <mergeCell ref="N1:R1"/>
    <mergeCell ref="A46:J46"/>
    <mergeCell ref="A56:C56"/>
    <mergeCell ref="A1:A2"/>
    <mergeCell ref="B1:B2"/>
    <mergeCell ref="C1:C2"/>
    <mergeCell ref="D1:I1"/>
  </mergeCells>
  <printOptions horizontalCentered="1" gridLines="1"/>
  <pageMargins left="0.25" right="0.25" top="1.75" bottom="1" header="0.5" footer="0.5"/>
  <pageSetup scale="87" fitToHeight="4" orientation="portrait" r:id="rId1"/>
  <headerFooter alignWithMargins="0">
    <oddHeader>&amp;LOrdinance #   (pay plan adoption)
Resolution # 9349 (2017-19 CBA adoption)&amp;C&amp;"Times New Roman,Bold"&amp;16
2019 CITY OF BELLEVUE PAY PLANS
BELLEVUE POLICE SUPPORT GUILD</oddHeader>
    <oddFooter>&amp;C&amp;"Arial,Bold"&amp;16&amp;A&amp;REffective 01/01/19
System Update 01/xx/19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7">
    <tabColor rgb="FF92D050"/>
    <pageSetUpPr fitToPage="1"/>
  </sheetPr>
  <dimension ref="A1:P188"/>
  <sheetViews>
    <sheetView view="pageLayout" zoomScaleNormal="100" zoomScaleSheetLayoutView="90" workbookViewId="0">
      <selection sqref="A1:A2"/>
    </sheetView>
  </sheetViews>
  <sheetFormatPr defaultColWidth="9.140625" defaultRowHeight="12.75" x14ac:dyDescent="0.2"/>
  <cols>
    <col min="1" max="1" width="6.7109375" style="186" customWidth="1"/>
    <col min="2" max="2" width="1.7109375" style="186" bestFit="1" customWidth="1"/>
    <col min="3" max="3" width="7.85546875" style="186" customWidth="1"/>
    <col min="4" max="4" width="42.5703125" style="160" customWidth="1"/>
    <col min="5" max="5" width="14.42578125" style="233" bestFit="1" customWidth="1"/>
    <col min="6" max="6" width="12.28515625" style="233" bestFit="1" customWidth="1"/>
    <col min="7" max="7" width="14.42578125" style="233" bestFit="1" customWidth="1"/>
    <col min="8" max="8" width="9.85546875" style="160" customWidth="1"/>
    <col min="9" max="10" width="9.140625" style="160" customWidth="1"/>
    <col min="11" max="11" width="17" style="160" customWidth="1"/>
    <col min="12" max="14" width="9.28515625" style="160" bestFit="1" customWidth="1"/>
    <col min="15" max="16384" width="9.140625" style="160"/>
  </cols>
  <sheetData>
    <row r="1" spans="1:16" s="174" customFormat="1" ht="12.75" customHeight="1" x14ac:dyDescent="0.2">
      <c r="A1" s="659" t="s">
        <v>572</v>
      </c>
      <c r="B1" s="659"/>
      <c r="C1" s="659" t="s">
        <v>0</v>
      </c>
      <c r="D1" s="659" t="s">
        <v>1</v>
      </c>
      <c r="E1" s="676" t="s">
        <v>376</v>
      </c>
      <c r="F1" s="676" t="s">
        <v>378</v>
      </c>
      <c r="G1" s="676" t="s">
        <v>377</v>
      </c>
      <c r="H1" s="305">
        <v>2019</v>
      </c>
      <c r="I1" s="174" t="s">
        <v>1092</v>
      </c>
      <c r="J1" s="174">
        <v>1.0324</v>
      </c>
      <c r="K1" s="224"/>
      <c r="L1" s="661" t="s">
        <v>2</v>
      </c>
      <c r="M1" s="661"/>
      <c r="N1" s="661"/>
      <c r="O1" s="225"/>
      <c r="P1" s="225"/>
    </row>
    <row r="2" spans="1:16" s="177" customFormat="1" x14ac:dyDescent="0.2">
      <c r="A2" s="658"/>
      <c r="B2" s="658"/>
      <c r="C2" s="658"/>
      <c r="D2" s="660"/>
      <c r="E2" s="677"/>
      <c r="F2" s="677"/>
      <c r="G2" s="677"/>
      <c r="H2" s="304"/>
      <c r="K2" s="226"/>
      <c r="L2" s="161" t="s">
        <v>461</v>
      </c>
      <c r="M2" s="161" t="s">
        <v>462</v>
      </c>
      <c r="N2" s="161" t="s">
        <v>377</v>
      </c>
      <c r="O2" s="178"/>
      <c r="P2" s="178"/>
    </row>
    <row r="3" spans="1:16" x14ac:dyDescent="0.2">
      <c r="A3" s="546" t="s">
        <v>612</v>
      </c>
      <c r="B3" s="546" t="s">
        <v>88</v>
      </c>
      <c r="C3" s="546" t="s">
        <v>829</v>
      </c>
      <c r="D3" s="160" t="s">
        <v>830</v>
      </c>
      <c r="E3" s="227">
        <f>E4/12</f>
        <v>10167.449999999999</v>
      </c>
      <c r="F3" s="227">
        <f t="shared" ref="F3:G3" si="0">F4/12</f>
        <v>12069.807083333333</v>
      </c>
      <c r="G3" s="227">
        <f t="shared" si="0"/>
        <v>13972.164166666667</v>
      </c>
      <c r="H3" s="160" t="s">
        <v>10</v>
      </c>
    </row>
    <row r="4" spans="1:16" x14ac:dyDescent="0.2">
      <c r="E4" s="227">
        <f>ROUND(118180.354*$J$1,2)</f>
        <v>122009.4</v>
      </c>
      <c r="F4" s="227">
        <f>(E4+G4)/2</f>
        <v>144837.685</v>
      </c>
      <c r="G4" s="227">
        <f>ROUND(162404.081*$J$1,2)</f>
        <v>167665.97</v>
      </c>
      <c r="H4" s="160" t="s">
        <v>520</v>
      </c>
      <c r="K4" s="228" t="s">
        <v>456</v>
      </c>
      <c r="L4" s="204" t="e">
        <f>(G14-E14)/E14</f>
        <v>#DIV/0!</v>
      </c>
    </row>
    <row r="5" spans="1:16" x14ac:dyDescent="0.2">
      <c r="A5" s="229"/>
      <c r="E5" s="230">
        <f>E4/2080</f>
        <v>58.658365384615379</v>
      </c>
      <c r="F5" s="230">
        <f>F4/2080</f>
        <v>69.633502403846151</v>
      </c>
      <c r="G5" s="230">
        <f>G4/2080</f>
        <v>80.608639423076923</v>
      </c>
      <c r="H5" s="160" t="s">
        <v>11</v>
      </c>
      <c r="K5" s="228" t="s">
        <v>457</v>
      </c>
      <c r="L5" s="204" t="e">
        <f>(E7-E14)/E14</f>
        <v>#DIV/0!</v>
      </c>
      <c r="M5" s="204" t="e">
        <f>(F7-F14)/F14</f>
        <v>#DIV/0!</v>
      </c>
      <c r="N5" s="204" t="e">
        <f>(G7-G14)/G14</f>
        <v>#DIV/0!</v>
      </c>
    </row>
    <row r="6" spans="1:16" x14ac:dyDescent="0.2">
      <c r="A6" s="229"/>
      <c r="E6" s="230"/>
      <c r="F6" s="230"/>
      <c r="G6" s="230"/>
      <c r="K6" s="228"/>
      <c r="L6" s="204"/>
      <c r="M6" s="204"/>
      <c r="N6" s="204"/>
    </row>
    <row r="7" spans="1:16" x14ac:dyDescent="0.2">
      <c r="A7" s="186" t="s">
        <v>613</v>
      </c>
      <c r="B7" s="186" t="s">
        <v>88</v>
      </c>
      <c r="C7" s="179" t="s">
        <v>1114</v>
      </c>
      <c r="D7" s="189" t="s">
        <v>1115</v>
      </c>
      <c r="E7" s="227">
        <f>E8/12</f>
        <v>10167.449999999999</v>
      </c>
      <c r="F7" s="227">
        <f>F8/12</f>
        <v>13204.467083333331</v>
      </c>
      <c r="G7" s="227">
        <f>G8/12</f>
        <v>16241.484166666667</v>
      </c>
      <c r="H7" s="160" t="s">
        <v>10</v>
      </c>
      <c r="K7" s="228" t="s">
        <v>455</v>
      </c>
      <c r="L7" s="204">
        <f>(F7-E7)/E7</f>
        <v>0.29869997721487024</v>
      </c>
      <c r="M7" s="204">
        <f>(G7-F7)/F7</f>
        <v>0.2299992164898996</v>
      </c>
    </row>
    <row r="8" spans="1:16" x14ac:dyDescent="0.2">
      <c r="B8" s="186" t="s">
        <v>88</v>
      </c>
      <c r="C8" s="184" t="s">
        <v>328</v>
      </c>
      <c r="D8" s="231" t="s">
        <v>15</v>
      </c>
      <c r="E8" s="227">
        <f>ROUND(118180.354*$J$1,2)</f>
        <v>122009.4</v>
      </c>
      <c r="F8" s="227">
        <f>(E8+G8)/2</f>
        <v>158453.60499999998</v>
      </c>
      <c r="G8" s="227">
        <f>ROUND(188781.295*$J$1,2)</f>
        <v>194897.81</v>
      </c>
      <c r="H8" s="160" t="s">
        <v>520</v>
      </c>
      <c r="K8" s="228" t="s">
        <v>456</v>
      </c>
      <c r="L8" s="204">
        <f>(G7-E7)/E7</f>
        <v>0.59739995442974092</v>
      </c>
    </row>
    <row r="9" spans="1:16" x14ac:dyDescent="0.2">
      <c r="B9" s="186" t="s">
        <v>88</v>
      </c>
      <c r="C9" s="188" t="s">
        <v>330</v>
      </c>
      <c r="D9" s="231" t="s">
        <v>171</v>
      </c>
      <c r="E9" s="230">
        <f>E8/2080</f>
        <v>58.658365384615379</v>
      </c>
      <c r="F9" s="230">
        <f>F8/2080</f>
        <v>76.179617788461528</v>
      </c>
      <c r="G9" s="230">
        <f>G8/2080</f>
        <v>93.70087019230769</v>
      </c>
      <c r="H9" s="160" t="s">
        <v>11</v>
      </c>
      <c r="K9" s="228" t="s">
        <v>457</v>
      </c>
      <c r="L9" s="204">
        <f>(E21-E7)/E7</f>
        <v>9.6307415658137913E-2</v>
      </c>
      <c r="M9" s="204">
        <f>(F21-F7)/F7</f>
        <v>9.6305256040088549E-2</v>
      </c>
      <c r="N9" s="204">
        <f>(G21-G7)/G7</f>
        <v>9.6303904081836547E-2</v>
      </c>
    </row>
    <row r="10" spans="1:16" x14ac:dyDescent="0.2">
      <c r="B10" s="186" t="s">
        <v>88</v>
      </c>
      <c r="C10" s="188" t="s">
        <v>331</v>
      </c>
      <c r="D10" s="231" t="s">
        <v>17</v>
      </c>
    </row>
    <row r="11" spans="1:16" x14ac:dyDescent="0.2">
      <c r="B11" s="186" t="s">
        <v>88</v>
      </c>
      <c r="C11" s="186" t="s">
        <v>827</v>
      </c>
      <c r="D11" s="160" t="s">
        <v>828</v>
      </c>
      <c r="E11" s="170"/>
      <c r="F11" s="170"/>
      <c r="G11" s="170"/>
    </row>
    <row r="12" spans="1:16" x14ac:dyDescent="0.2">
      <c r="B12" s="186" t="s">
        <v>88</v>
      </c>
      <c r="C12" s="188" t="s">
        <v>1110</v>
      </c>
      <c r="D12" s="189" t="s">
        <v>1109</v>
      </c>
      <c r="E12" s="170"/>
      <c r="F12" s="170"/>
      <c r="G12" s="170"/>
    </row>
    <row r="13" spans="1:16" x14ac:dyDescent="0.2">
      <c r="B13" s="188" t="s">
        <v>88</v>
      </c>
      <c r="C13" s="232" t="s">
        <v>383</v>
      </c>
      <c r="D13" s="189" t="s">
        <v>502</v>
      </c>
    </row>
    <row r="14" spans="1:16" x14ac:dyDescent="0.2">
      <c r="B14" s="186" t="s">
        <v>88</v>
      </c>
      <c r="C14" s="179" t="s">
        <v>1111</v>
      </c>
      <c r="D14" s="189" t="s">
        <v>575</v>
      </c>
      <c r="E14" s="227"/>
      <c r="F14" s="227"/>
      <c r="G14" s="227"/>
      <c r="H14" s="189"/>
      <c r="K14" s="228" t="s">
        <v>455</v>
      </c>
      <c r="L14" s="204" t="e">
        <f>(F14-E14)/E14</f>
        <v>#DIV/0!</v>
      </c>
      <c r="M14" s="204" t="e">
        <f>(G14-F14)/F14</f>
        <v>#DIV/0!</v>
      </c>
      <c r="N14" s="204"/>
      <c r="O14" s="204"/>
      <c r="P14" s="204"/>
    </row>
    <row r="15" spans="1:16" x14ac:dyDescent="0.2">
      <c r="B15" s="186" t="s">
        <v>88</v>
      </c>
      <c r="C15" s="188" t="s">
        <v>329</v>
      </c>
      <c r="D15" s="189" t="s">
        <v>503</v>
      </c>
    </row>
    <row r="16" spans="1:16" x14ac:dyDescent="0.2">
      <c r="B16" s="186" t="s">
        <v>88</v>
      </c>
      <c r="C16" s="188" t="s">
        <v>1113</v>
      </c>
      <c r="D16" s="189" t="s">
        <v>1112</v>
      </c>
    </row>
    <row r="17" spans="1:14" x14ac:dyDescent="0.2">
      <c r="B17" s="186" t="s">
        <v>88</v>
      </c>
      <c r="C17" s="188" t="s">
        <v>332</v>
      </c>
      <c r="D17" s="189" t="s">
        <v>504</v>
      </c>
    </row>
    <row r="18" spans="1:14" x14ac:dyDescent="0.2">
      <c r="B18" s="186" t="s">
        <v>88</v>
      </c>
      <c r="C18" s="188" t="s">
        <v>333</v>
      </c>
      <c r="D18" s="189" t="s">
        <v>505</v>
      </c>
    </row>
    <row r="19" spans="1:14" ht="12.6" customHeight="1" x14ac:dyDescent="0.2">
      <c r="B19" s="186" t="s">
        <v>88</v>
      </c>
      <c r="C19" s="188" t="s">
        <v>334</v>
      </c>
      <c r="D19" s="231" t="s">
        <v>16</v>
      </c>
    </row>
    <row r="20" spans="1:14" ht="35.1" customHeight="1" x14ac:dyDescent="0.2">
      <c r="C20" s="188"/>
      <c r="D20" s="231"/>
    </row>
    <row r="21" spans="1:14" x14ac:dyDescent="0.2">
      <c r="A21" s="186" t="s">
        <v>574</v>
      </c>
      <c r="B21" s="186" t="s">
        <v>88</v>
      </c>
      <c r="C21" s="188" t="s">
        <v>335</v>
      </c>
      <c r="D21" s="231" t="s">
        <v>18</v>
      </c>
      <c r="E21" s="227">
        <f>E22/12</f>
        <v>11146.650833333333</v>
      </c>
      <c r="F21" s="227">
        <f>F22/12</f>
        <v>14476.126666666669</v>
      </c>
      <c r="G21" s="227">
        <f>G22/12</f>
        <v>17805.602500000001</v>
      </c>
      <c r="H21" s="160" t="s">
        <v>10</v>
      </c>
      <c r="K21" s="228" t="s">
        <v>455</v>
      </c>
      <c r="L21" s="204">
        <f>(F21-E21)/E21</f>
        <v>0.29869741890333151</v>
      </c>
      <c r="M21" s="204">
        <f>(G21-F21)/F21</f>
        <v>0.22999769966091285</v>
      </c>
    </row>
    <row r="22" spans="1:14" x14ac:dyDescent="0.2">
      <c r="A22" s="186" t="s">
        <v>614</v>
      </c>
      <c r="C22" s="188"/>
      <c r="D22" s="189"/>
      <c r="E22" s="227">
        <f>ROUND(129561.997*$J$1,2)</f>
        <v>133759.81</v>
      </c>
      <c r="F22" s="227">
        <f>(E22+G22)/2</f>
        <v>173713.52000000002</v>
      </c>
      <c r="G22" s="227">
        <f>ROUND(206961.675*$J$1,2)</f>
        <v>213667.23</v>
      </c>
      <c r="H22" s="160" t="s">
        <v>520</v>
      </c>
      <c r="K22" s="228" t="s">
        <v>456</v>
      </c>
      <c r="L22" s="204">
        <f>(G21-E21)/E21</f>
        <v>0.59739483780666269</v>
      </c>
    </row>
    <row r="23" spans="1:14" x14ac:dyDescent="0.2">
      <c r="C23" s="188"/>
      <c r="D23" s="189"/>
      <c r="E23" s="230">
        <f>E22/2080</f>
        <v>64.307600961538455</v>
      </c>
      <c r="F23" s="230">
        <f>F22/2080</f>
        <v>83.516115384615389</v>
      </c>
      <c r="G23" s="230">
        <f>G22/2080</f>
        <v>102.72462980769231</v>
      </c>
      <c r="H23" s="160" t="s">
        <v>11</v>
      </c>
      <c r="K23" s="228"/>
      <c r="L23" s="204"/>
      <c r="M23" s="204"/>
      <c r="N23" s="204"/>
    </row>
    <row r="24" spans="1:14" ht="35.1" customHeight="1" x14ac:dyDescent="0.2">
      <c r="E24" s="183"/>
      <c r="F24" s="183"/>
      <c r="G24" s="183"/>
    </row>
    <row r="26" spans="1:14" x14ac:dyDescent="0.2">
      <c r="A26" s="546" t="s">
        <v>573</v>
      </c>
      <c r="B26" s="546" t="s">
        <v>88</v>
      </c>
      <c r="C26" s="179"/>
      <c r="D26" s="160" t="s">
        <v>1091</v>
      </c>
      <c r="E26" s="227"/>
      <c r="F26" s="227"/>
      <c r="G26" s="227"/>
      <c r="H26" s="189"/>
    </row>
    <row r="27" spans="1:14" x14ac:dyDescent="0.2">
      <c r="A27" s="229"/>
      <c r="B27" s="546" t="s">
        <v>88</v>
      </c>
      <c r="C27" s="179"/>
      <c r="D27" s="189"/>
      <c r="E27" s="230"/>
      <c r="F27" s="230"/>
      <c r="G27" s="230"/>
    </row>
    <row r="56" spans="1:8" x14ac:dyDescent="0.2">
      <c r="A56" s="546"/>
      <c r="B56" s="546"/>
      <c r="C56" s="179"/>
      <c r="D56" s="189"/>
      <c r="E56" s="227"/>
      <c r="F56" s="227"/>
      <c r="G56" s="227"/>
      <c r="H56" s="189"/>
    </row>
    <row r="57" spans="1:8" x14ac:dyDescent="0.2">
      <c r="A57" s="546"/>
      <c r="B57" s="546"/>
      <c r="C57" s="546"/>
      <c r="E57" s="227"/>
      <c r="F57" s="227"/>
      <c r="G57" s="227"/>
    </row>
    <row r="58" spans="1:8" x14ac:dyDescent="0.2">
      <c r="A58" s="229"/>
      <c r="B58" s="546"/>
      <c r="C58" s="179"/>
      <c r="D58" s="189"/>
      <c r="E58" s="230"/>
      <c r="F58" s="230"/>
      <c r="G58" s="230"/>
    </row>
    <row r="188" spans="9:9" x14ac:dyDescent="0.2">
      <c r="I188" s="437"/>
    </row>
  </sheetData>
  <customSheetViews>
    <customSheetView guid="{03674138-A9FA-46A6-AB09-A74C70852C0D}" showPageBreaks="1" fitToPage="1" printArea="1" view="pageLayout">
      <selection activeCell="E9" sqref="E9"/>
      <pageMargins left="0.25" right="0.25" top="1.75" bottom="1" header="0.5" footer="0.5"/>
      <printOptions horizontalCentered="1" gridLines="1"/>
      <pageSetup scale="59" orientation="portrait" r:id="rId1"/>
      <headerFooter alignWithMargins="0">
        <oddHeader xml:space="preserve">&amp;L&amp;"Times New Roman,Regular"Ordinance #  (pay plan adoption)
&amp;C&amp;"Times New Roman,Bold"&amp;16 
ATTACHMENT I
2016 CITY OF BELLEVUE PAY PLANS
&amp;14NON-AFFILIATED
EXECUTIVE
</oddHeader>
        <oddFooter>&amp;L&amp;"Times New Roman,Regular"* Position is exempt from overtime.&amp;C&amp;"Times New Roman,Bold"&amp;16&amp;A</oddFooter>
      </headerFooter>
    </customSheetView>
    <customSheetView guid="{6140C585-A678-4296-91B8-0C17DF653D09}" showPageBreaks="1" fitToPage="1" printArea="1" view="pageLayout">
      <selection activeCell="C12" sqref="C12"/>
      <pageMargins left="0.25" right="0.25" top="1.75" bottom="1" header="0.5" footer="0.5"/>
      <printOptions horizontalCentered="1" gridLines="1"/>
      <pageSetup scale="60" orientation="portrait" r:id="rId2"/>
      <headerFooter alignWithMargins="0">
        <oddHeader xml:space="preserve">&amp;LOrdinance #  (pay plan adoption)
&amp;C&amp;"Arial,Bold"&amp;16 
2016 CITY OF BELLEVUE PAY PLANS
&amp;14NON-AFFILIATED
EXECUTIVE
</oddHeader>
        <oddFooter>&amp;L* Position is exempt from overtime.&amp;C&amp;"Arial,Bold"&amp;16&amp;A&amp;REffective 01/01/16
System Update 01/xx/16</oddFooter>
      </headerFooter>
    </customSheetView>
    <customSheetView guid="{49073133-97C6-4E81-BEFE-D9E658C173F7}" showPageBreaks="1" fitToPage="1" printArea="1" view="pageLayout">
      <selection sqref="A1:A2"/>
      <pageMargins left="0.25" right="0.25" top="1.75" bottom="1" header="0.5" footer="0.5"/>
      <printOptions horizontalCentered="1" gridLines="1"/>
      <pageSetup scale="60" orientation="portrait" r:id="rId3"/>
      <headerFooter alignWithMargins="0">
        <oddHeader xml:space="preserve">&amp;LOrdinance #  (pay plan adoption)
&amp;C&amp;"Arial,Bold"&amp;16 
2016 CITY OF BELLEVUE PAY PLANS
&amp;14NON-AFFILIATED
EXECUTIVE
</oddHeader>
        <oddFooter>&amp;L* Position is exempt from overtime.&amp;C&amp;"Arial,Bold"&amp;16&amp;A&amp;REffective 01/01/16
System Update 01/xx/16</oddFooter>
      </headerFooter>
    </customSheetView>
  </customSheetViews>
  <mergeCells count="8">
    <mergeCell ref="B1:B2"/>
    <mergeCell ref="A1:A2"/>
    <mergeCell ref="C1:C2"/>
    <mergeCell ref="D1:D2"/>
    <mergeCell ref="L1:N1"/>
    <mergeCell ref="F1:F2"/>
    <mergeCell ref="G1:G2"/>
    <mergeCell ref="E1:E2"/>
  </mergeCells>
  <phoneticPr fontId="7" type="noConversion"/>
  <printOptions horizontalCentered="1" gridLines="1"/>
  <pageMargins left="0.25" right="0.25" top="1.75" bottom="1" header="0.5" footer="0.5"/>
  <pageSetup scale="94" orientation="portrait" r:id="rId4"/>
  <headerFooter alignWithMargins="0">
    <oddHeader xml:space="preserve">&amp;LOrdinance #  (pay plan adoption)
&amp;C&amp;"Times New Roman,Bold"&amp;14 
2019 CITY OF BELLEVUE PAY PLANS
NON-AFFILIATED
EXECUTIVE
</oddHeader>
    <oddFooter>&amp;L&amp;"Times New Roman,Regular"* Position is exempt from overtime.&amp;C&amp;"Times New Roman,Bold"&amp;16&amp;A&amp;R&amp;"Times New Roman,Regular"Effective 01/01/19
System Update 01/xx/19</oddFooter>
  </headerFooter>
  <rowBreaks count="1" manualBreakCount="1">
    <brk id="2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00A88-4CCD-49A0-9B62-7FDAB61B0E60}">
  <sheetPr codeName="Sheet4">
    <tabColor rgb="FF92D050"/>
  </sheetPr>
  <dimension ref="A1:W62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5" style="449" customWidth="1"/>
    <col min="2" max="2" width="7.5703125" style="451" customWidth="1"/>
    <col min="3" max="3" width="25.5703125" style="209" bestFit="1" customWidth="1"/>
    <col min="4" max="6" width="10.5703125" style="280" customWidth="1"/>
    <col min="7" max="8" width="11.140625" style="280" bestFit="1" customWidth="1"/>
    <col min="9" max="9" width="11.5703125" style="209" customWidth="1"/>
    <col min="10" max="10" width="20.5703125" style="209" bestFit="1" customWidth="1"/>
    <col min="11" max="11" width="9.140625" style="209"/>
    <col min="12" max="12" width="17" style="209" bestFit="1" customWidth="1"/>
    <col min="13" max="17" width="9.140625" style="209"/>
    <col min="18" max="18" width="17.42578125" style="209" bestFit="1" customWidth="1"/>
    <col min="19" max="23" width="10.42578125" style="209" bestFit="1" customWidth="1"/>
    <col min="24" max="16384" width="9.140625" style="209"/>
  </cols>
  <sheetData>
    <row r="1" spans="1:23" s="193" customFormat="1" x14ac:dyDescent="0.2">
      <c r="A1" s="665" t="s">
        <v>550</v>
      </c>
      <c r="B1" s="679" t="s">
        <v>0</v>
      </c>
      <c r="C1" s="679" t="s">
        <v>1</v>
      </c>
      <c r="D1" s="681" t="s">
        <v>2</v>
      </c>
      <c r="E1" s="681"/>
      <c r="F1" s="681"/>
      <c r="G1" s="681"/>
      <c r="H1" s="681"/>
      <c r="I1" s="311">
        <v>2019</v>
      </c>
      <c r="J1" s="262" t="s">
        <v>1093</v>
      </c>
      <c r="K1" s="193">
        <v>1.036</v>
      </c>
      <c r="L1" s="475"/>
      <c r="M1" s="662" t="s">
        <v>2</v>
      </c>
      <c r="N1" s="662"/>
      <c r="O1" s="662"/>
      <c r="P1" s="662"/>
      <c r="R1" s="454" t="s">
        <v>545</v>
      </c>
    </row>
    <row r="2" spans="1:23" s="450" customFormat="1" x14ac:dyDescent="0.2">
      <c r="A2" s="666"/>
      <c r="B2" s="666"/>
      <c r="C2" s="680"/>
      <c r="D2" s="264">
        <v>1</v>
      </c>
      <c r="E2" s="264">
        <v>2</v>
      </c>
      <c r="F2" s="264">
        <v>3</v>
      </c>
      <c r="G2" s="264">
        <v>4</v>
      </c>
      <c r="H2" s="264">
        <v>5</v>
      </c>
      <c r="I2" s="453"/>
      <c r="J2" s="452"/>
      <c r="L2" s="237"/>
      <c r="M2" s="197" t="s">
        <v>450</v>
      </c>
      <c r="N2" s="197" t="s">
        <v>451</v>
      </c>
      <c r="O2" s="197" t="s">
        <v>452</v>
      </c>
      <c r="P2" s="197" t="s">
        <v>453</v>
      </c>
      <c r="Q2" s="450">
        <v>5</v>
      </c>
      <c r="S2" s="450">
        <v>1</v>
      </c>
      <c r="T2" s="450">
        <v>2</v>
      </c>
      <c r="U2" s="450">
        <v>3</v>
      </c>
      <c r="V2" s="450">
        <v>4</v>
      </c>
      <c r="W2" s="450">
        <v>5</v>
      </c>
    </row>
    <row r="3" spans="1:23" x14ac:dyDescent="0.2">
      <c r="A3" s="449" t="s">
        <v>59</v>
      </c>
      <c r="B3" s="273" t="s">
        <v>336</v>
      </c>
      <c r="C3" s="269" t="s">
        <v>439</v>
      </c>
      <c r="D3" s="238">
        <f>+H3*78.65%</f>
        <v>6351.0661500000006</v>
      </c>
      <c r="E3" s="328">
        <f>+H3*82.49%</f>
        <v>6661.1499899999999</v>
      </c>
      <c r="F3" s="238">
        <f>+H3*88.46%</f>
        <v>7143.2334599999995</v>
      </c>
      <c r="G3" s="328">
        <f>+H3*94.17%</f>
        <v>7604.3216700000003</v>
      </c>
      <c r="H3" s="249">
        <f>ROUND(7794.5*$K$1,2)</f>
        <v>8075.1</v>
      </c>
      <c r="I3" s="270" t="s">
        <v>10</v>
      </c>
      <c r="J3" s="270"/>
      <c r="L3" s="203" t="s">
        <v>455</v>
      </c>
      <c r="M3" s="204">
        <f>(E3-D3)/D3</f>
        <v>4.8823903369357803E-2</v>
      </c>
      <c r="N3" s="204">
        <f>(F3-E3)/E3</f>
        <v>7.237240877682137E-2</v>
      </c>
      <c r="O3" s="204">
        <f>(G3-F3)/F3</f>
        <v>6.454894867736842E-2</v>
      </c>
      <c r="P3" s="204">
        <f>(H3-G3)/G3</f>
        <v>6.1909312944674534E-2</v>
      </c>
      <c r="R3" s="476" t="s">
        <v>546</v>
      </c>
      <c r="S3" s="239">
        <f>T3/1.05</f>
        <v>6643.4047541919263</v>
      </c>
      <c r="T3" s="239">
        <f>U3/1.05</f>
        <v>6975.5749919015225</v>
      </c>
      <c r="U3" s="239">
        <f>V3/1.05</f>
        <v>7324.3537414965986</v>
      </c>
      <c r="V3" s="239">
        <f>W3/1.05</f>
        <v>7690.5714285714284</v>
      </c>
      <c r="W3" s="239">
        <f>H3</f>
        <v>8075.1</v>
      </c>
    </row>
    <row r="4" spans="1:23" x14ac:dyDescent="0.2">
      <c r="B4" s="449"/>
      <c r="C4" s="270"/>
      <c r="D4" s="328">
        <f>12*D3</f>
        <v>76212.793800000014</v>
      </c>
      <c r="E4" s="328">
        <f>12*E3</f>
        <v>79933.799880000006</v>
      </c>
      <c r="F4" s="328">
        <f>12*F3</f>
        <v>85718.801519999994</v>
      </c>
      <c r="G4" s="328">
        <f>12*G3</f>
        <v>91251.86004</v>
      </c>
      <c r="H4" s="328">
        <f>12*H3</f>
        <v>96901.200000000012</v>
      </c>
      <c r="I4" s="270" t="s">
        <v>520</v>
      </c>
      <c r="J4" s="270"/>
      <c r="L4" s="203" t="s">
        <v>456</v>
      </c>
      <c r="M4" s="204">
        <f>(H3-D3)/D3</f>
        <v>0.2714558169103623</v>
      </c>
      <c r="R4" s="203" t="s">
        <v>456</v>
      </c>
      <c r="S4" s="240">
        <f>(W3-S3)/S3</f>
        <v>0.21550625000000004</v>
      </c>
      <c r="T4" s="241"/>
      <c r="U4" s="241"/>
      <c r="V4" s="241"/>
      <c r="W4" s="241"/>
    </row>
    <row r="5" spans="1:23" x14ac:dyDescent="0.2">
      <c r="B5" s="449"/>
      <c r="C5" s="270"/>
      <c r="D5" s="166">
        <f>D4/2080</f>
        <v>36.640766250000006</v>
      </c>
      <c r="E5" s="166">
        <f>E4/2080</f>
        <v>38.429711480769235</v>
      </c>
      <c r="F5" s="166">
        <f>F4/2080</f>
        <v>41.21096226923077</v>
      </c>
      <c r="G5" s="166">
        <f>G4/2080</f>
        <v>43.871086557692308</v>
      </c>
      <c r="H5" s="166">
        <f>H4/2080</f>
        <v>46.587115384615387</v>
      </c>
      <c r="I5" s="270" t="s">
        <v>11</v>
      </c>
      <c r="J5" s="270"/>
      <c r="L5" s="203" t="s">
        <v>457</v>
      </c>
      <c r="M5" s="204">
        <f>(D14-D3)/D3</f>
        <v>-1</v>
      </c>
      <c r="N5" s="204">
        <f>(E14-E3)/E3</f>
        <v>-1</v>
      </c>
      <c r="O5" s="204">
        <f>(F14-F3)/F3</f>
        <v>5.0000000000000204E-2</v>
      </c>
      <c r="P5" s="204">
        <f>(G14-G3)/G3</f>
        <v>5.0000000000000176E-2</v>
      </c>
      <c r="Q5" s="204">
        <f>(H14-H3)/H3</f>
        <v>5.0000000000000121E-2</v>
      </c>
      <c r="R5" s="203"/>
      <c r="S5" s="241"/>
      <c r="T5" s="241"/>
      <c r="U5" s="241"/>
      <c r="V5" s="241"/>
      <c r="W5" s="241"/>
    </row>
    <row r="6" spans="1:23" x14ac:dyDescent="0.2">
      <c r="B6" s="449"/>
      <c r="C6" s="270"/>
      <c r="D6" s="328">
        <f>D4/2505.36</f>
        <v>30.419897260273977</v>
      </c>
      <c r="E6" s="328">
        <f>E4/2505.36</f>
        <v>31.905115384615385</v>
      </c>
      <c r="F6" s="328">
        <f>F4/2505.36</f>
        <v>34.21416543730242</v>
      </c>
      <c r="G6" s="328">
        <f>G4/2505.36</f>
        <v>36.422653846153842</v>
      </c>
      <c r="H6" s="328">
        <f>H4/2505.36</f>
        <v>38.67755532139094</v>
      </c>
      <c r="I6" s="270" t="s">
        <v>56</v>
      </c>
      <c r="J6" s="477"/>
      <c r="S6" s="241"/>
      <c r="T6" s="241"/>
      <c r="U6" s="241"/>
      <c r="V6" s="241"/>
      <c r="W6" s="241"/>
    </row>
    <row r="7" spans="1:23" x14ac:dyDescent="0.2">
      <c r="B7" s="449"/>
      <c r="C7" s="270"/>
      <c r="D7" s="478">
        <f>D3/$H$3</f>
        <v>0.78650000000000009</v>
      </c>
      <c r="E7" s="478">
        <f t="shared" ref="E7:H7" si="0">E3/$H$3</f>
        <v>0.82489999999999997</v>
      </c>
      <c r="F7" s="478">
        <f t="shared" si="0"/>
        <v>0.88459999999999994</v>
      </c>
      <c r="G7" s="478">
        <f t="shared" si="0"/>
        <v>0.94169999999999998</v>
      </c>
      <c r="H7" s="478">
        <f t="shared" si="0"/>
        <v>1</v>
      </c>
      <c r="I7" s="270"/>
      <c r="J7" s="477"/>
      <c r="S7" s="241"/>
      <c r="T7" s="241"/>
      <c r="U7" s="241"/>
      <c r="V7" s="241"/>
      <c r="W7" s="241"/>
    </row>
    <row r="8" spans="1:23" x14ac:dyDescent="0.2">
      <c r="B8" s="449"/>
      <c r="C8" s="270"/>
      <c r="D8" s="328" t="s">
        <v>1059</v>
      </c>
      <c r="E8" s="328" t="s">
        <v>1060</v>
      </c>
      <c r="F8" s="328" t="s">
        <v>1061</v>
      </c>
      <c r="G8" s="328" t="s">
        <v>1062</v>
      </c>
      <c r="H8" s="328" t="s">
        <v>1063</v>
      </c>
      <c r="I8" s="270"/>
      <c r="J8" s="270"/>
      <c r="S8" s="241"/>
      <c r="T8" s="241"/>
      <c r="U8" s="241"/>
      <c r="V8" s="241"/>
      <c r="W8" s="241"/>
    </row>
    <row r="9" spans="1:23" x14ac:dyDescent="0.2">
      <c r="A9" s="449" t="s">
        <v>59</v>
      </c>
      <c r="B9" s="273" t="s">
        <v>336</v>
      </c>
      <c r="C9" s="269" t="s">
        <v>642</v>
      </c>
      <c r="D9" s="328"/>
      <c r="E9" s="328"/>
      <c r="F9" s="328">
        <f>H9*F7</f>
        <v>7571.827467600001</v>
      </c>
      <c r="G9" s="328">
        <f>H9*G7</f>
        <v>8060.5809702000015</v>
      </c>
      <c r="H9" s="328">
        <f>+H3*106%</f>
        <v>8559.6060000000016</v>
      </c>
      <c r="I9" s="270" t="s">
        <v>10</v>
      </c>
      <c r="J9" s="270" t="s">
        <v>662</v>
      </c>
      <c r="S9" s="241"/>
      <c r="T9" s="241"/>
      <c r="U9" s="241"/>
      <c r="V9" s="241"/>
      <c r="W9" s="241"/>
    </row>
    <row r="10" spans="1:23" x14ac:dyDescent="0.2">
      <c r="B10" s="449"/>
      <c r="C10" s="270"/>
      <c r="D10" s="328"/>
      <c r="E10" s="328"/>
      <c r="F10" s="328">
        <f>F9*12</f>
        <v>90861.929611200016</v>
      </c>
      <c r="G10" s="328">
        <f>G9*12</f>
        <v>96726.971642400022</v>
      </c>
      <c r="H10" s="328">
        <f>12*H9</f>
        <v>102715.27200000003</v>
      </c>
      <c r="I10" s="270" t="s">
        <v>520</v>
      </c>
      <c r="J10" s="270"/>
      <c r="S10" s="241"/>
      <c r="T10" s="241"/>
      <c r="U10" s="241"/>
      <c r="V10" s="241"/>
      <c r="W10" s="241"/>
    </row>
    <row r="11" spans="1:23" x14ac:dyDescent="0.2">
      <c r="B11" s="449"/>
      <c r="C11" s="270"/>
      <c r="D11" s="328"/>
      <c r="E11" s="328"/>
      <c r="F11" s="328">
        <f>F10/2080</f>
        <v>43.683620005384626</v>
      </c>
      <c r="G11" s="328">
        <f>G10/2080</f>
        <v>46.503351751153858</v>
      </c>
      <c r="H11" s="166">
        <f>H10/2080</f>
        <v>49.382342307692319</v>
      </c>
      <c r="I11" s="270" t="s">
        <v>11</v>
      </c>
      <c r="J11" s="270"/>
      <c r="S11" s="241"/>
      <c r="T11" s="241"/>
      <c r="U11" s="241"/>
      <c r="V11" s="241"/>
      <c r="W11" s="241"/>
    </row>
    <row r="12" spans="1:23" x14ac:dyDescent="0.2">
      <c r="B12" s="449"/>
      <c r="C12" s="270"/>
      <c r="D12" s="328"/>
      <c r="E12" s="328"/>
      <c r="F12" s="328">
        <f>F10/2505.36</f>
        <v>36.267015363540573</v>
      </c>
      <c r="G12" s="328">
        <f>G10/2505.36</f>
        <v>38.608013076923086</v>
      </c>
      <c r="H12" s="328">
        <f>H10/2505.36</f>
        <v>40.998208640674406</v>
      </c>
      <c r="I12" s="270" t="s">
        <v>56</v>
      </c>
      <c r="J12" s="270"/>
      <c r="S12" s="241"/>
      <c r="T12" s="241"/>
      <c r="U12" s="241"/>
      <c r="V12" s="241"/>
      <c r="W12" s="241"/>
    </row>
    <row r="13" spans="1:23" x14ac:dyDescent="0.2">
      <c r="B13" s="449"/>
      <c r="C13" s="270"/>
      <c r="D13" s="328"/>
      <c r="E13" s="328"/>
      <c r="F13" s="478">
        <f>F9/F3</f>
        <v>1.0600000000000003</v>
      </c>
      <c r="G13" s="478">
        <f>G9/G3</f>
        <v>1.06</v>
      </c>
      <c r="H13" s="478">
        <f>H9/$H$3</f>
        <v>1.06</v>
      </c>
      <c r="I13" s="270"/>
      <c r="J13" s="270"/>
      <c r="S13" s="241"/>
      <c r="T13" s="241"/>
      <c r="U13" s="241"/>
      <c r="V13" s="241"/>
      <c r="W13" s="241"/>
    </row>
    <row r="14" spans="1:23" x14ac:dyDescent="0.2">
      <c r="A14" s="273" t="s">
        <v>420</v>
      </c>
      <c r="B14" s="273" t="s">
        <v>338</v>
      </c>
      <c r="C14" s="269" t="s">
        <v>440</v>
      </c>
      <c r="D14" s="238"/>
      <c r="E14" s="328"/>
      <c r="F14" s="238">
        <f>+H14*88.46%</f>
        <v>7500.3951330000009</v>
      </c>
      <c r="G14" s="328">
        <f>+H14*94.17%</f>
        <v>7984.5377535000016</v>
      </c>
      <c r="H14" s="328">
        <f>H3*1.05</f>
        <v>8478.8550000000014</v>
      </c>
      <c r="I14" s="270" t="s">
        <v>10</v>
      </c>
      <c r="J14" s="270" t="s">
        <v>663</v>
      </c>
      <c r="L14" s="203" t="s">
        <v>455</v>
      </c>
      <c r="M14" s="204" t="e">
        <f>(E14-D14)/D14</f>
        <v>#DIV/0!</v>
      </c>
      <c r="N14" s="204" t="e">
        <f>(F14-E14)/E14</f>
        <v>#DIV/0!</v>
      </c>
      <c r="O14" s="204">
        <f>(G14-F14)/F14</f>
        <v>6.4548948677368392E-2</v>
      </c>
      <c r="P14" s="204">
        <f>(H14-G14)/G14</f>
        <v>6.1909312944674486E-2</v>
      </c>
    </row>
    <row r="15" spans="1:23" x14ac:dyDescent="0.2">
      <c r="B15" s="273"/>
      <c r="C15" s="270"/>
      <c r="D15" s="328"/>
      <c r="E15" s="328"/>
      <c r="F15" s="328">
        <f>12*F14</f>
        <v>90004.741596000007</v>
      </c>
      <c r="G15" s="328">
        <f>12*G14</f>
        <v>95814.453042000023</v>
      </c>
      <c r="H15" s="328">
        <f>12*H14</f>
        <v>101746.26000000001</v>
      </c>
      <c r="I15" s="270" t="s">
        <v>520</v>
      </c>
      <c r="J15" s="270"/>
      <c r="L15" s="203" t="s">
        <v>456</v>
      </c>
      <c r="M15" s="204" t="e">
        <f>(H14-D14)/D14</f>
        <v>#DIV/0!</v>
      </c>
    </row>
    <row r="16" spans="1:23" x14ac:dyDescent="0.2">
      <c r="B16" s="273"/>
      <c r="C16" s="270"/>
      <c r="D16" s="166"/>
      <c r="E16" s="166"/>
      <c r="F16" s="166">
        <f>F15/2080</f>
        <v>43.271510382692313</v>
      </c>
      <c r="G16" s="166">
        <f>G15/2080</f>
        <v>46.064640885576935</v>
      </c>
      <c r="H16" s="166">
        <f>H15/2080</f>
        <v>48.91647115384616</v>
      </c>
      <c r="I16" s="270" t="s">
        <v>11</v>
      </c>
      <c r="J16" s="270"/>
      <c r="L16" s="203" t="s">
        <v>457</v>
      </c>
      <c r="M16" s="204" t="e">
        <f>(D19-D14)/D14</f>
        <v>#DIV/0!</v>
      </c>
      <c r="N16" s="204" t="e">
        <f>(E19-E14)/E14</f>
        <v>#DIV/0!</v>
      </c>
      <c r="O16" s="204">
        <f>(F19-F14)/F14</f>
        <v>9.5238095238094997E-2</v>
      </c>
      <c r="P16" s="204">
        <f>(G19-G14)/G14</f>
        <v>9.5238095238094983E-2</v>
      </c>
      <c r="Q16" s="204">
        <f>(H19-H14)/H14</f>
        <v>9.5238095238095039E-2</v>
      </c>
    </row>
    <row r="17" spans="1:17" x14ac:dyDescent="0.2">
      <c r="B17" s="273"/>
      <c r="C17" s="270"/>
      <c r="D17" s="328"/>
      <c r="E17" s="328"/>
      <c r="F17" s="328">
        <f>F15/2505.36</f>
        <v>35.924873709167542</v>
      </c>
      <c r="G17" s="328">
        <f>G15/2505.36</f>
        <v>38.243786538461542</v>
      </c>
      <c r="H17" s="328">
        <f>H15/2505.36</f>
        <v>40.611433087460483</v>
      </c>
      <c r="I17" s="270" t="s">
        <v>56</v>
      </c>
      <c r="J17" s="270"/>
    </row>
    <row r="18" spans="1:17" x14ac:dyDescent="0.2">
      <c r="B18" s="273"/>
      <c r="C18" s="270"/>
      <c r="D18" s="478"/>
      <c r="E18" s="478"/>
      <c r="F18" s="478">
        <f t="shared" ref="F18:G18" si="1">F14/F3</f>
        <v>1.0500000000000003</v>
      </c>
      <c r="G18" s="478">
        <f t="shared" si="1"/>
        <v>1.0500000000000003</v>
      </c>
      <c r="H18" s="478">
        <f>H14/H3</f>
        <v>1.05</v>
      </c>
      <c r="I18" s="270"/>
      <c r="J18" s="270"/>
    </row>
    <row r="19" spans="1:17" x14ac:dyDescent="0.2">
      <c r="A19" s="273" t="s">
        <v>60</v>
      </c>
      <c r="B19" s="273" t="s">
        <v>337</v>
      </c>
      <c r="C19" s="269" t="s">
        <v>441</v>
      </c>
      <c r="D19" s="238"/>
      <c r="E19" s="328"/>
      <c r="F19" s="238">
        <f>+H19*88.46%</f>
        <v>8214.7184789999992</v>
      </c>
      <c r="G19" s="328">
        <f>+H19*94.17%</f>
        <v>8744.9699204999997</v>
      </c>
      <c r="H19" s="328">
        <f>H3*1.15</f>
        <v>9286.3649999999998</v>
      </c>
      <c r="I19" s="270" t="s">
        <v>10</v>
      </c>
      <c r="J19" s="270" t="s">
        <v>664</v>
      </c>
      <c r="L19" s="203" t="s">
        <v>455</v>
      </c>
      <c r="M19" s="204" t="e">
        <f>(E19-D19)/D19</f>
        <v>#DIV/0!</v>
      </c>
      <c r="N19" s="204" t="e">
        <f>(F19-E19)/E19</f>
        <v>#DIV/0!</v>
      </c>
      <c r="O19" s="204">
        <f>(G19-F19)/F19</f>
        <v>6.4548948677368365E-2</v>
      </c>
      <c r="P19" s="204">
        <f>(H19-G19)/G19</f>
        <v>6.1909312944674534E-2</v>
      </c>
    </row>
    <row r="20" spans="1:17" x14ac:dyDescent="0.2">
      <c r="B20" s="273"/>
      <c r="C20" s="270"/>
      <c r="D20" s="328"/>
      <c r="E20" s="328"/>
      <c r="F20" s="328">
        <f>12*F19</f>
        <v>98576.62174799999</v>
      </c>
      <c r="G20" s="328">
        <f>12*G19</f>
        <v>104939.639046</v>
      </c>
      <c r="H20" s="328">
        <f>12*H19</f>
        <v>111436.38</v>
      </c>
      <c r="I20" s="270" t="s">
        <v>520</v>
      </c>
      <c r="J20" s="270"/>
      <c r="L20" s="203" t="s">
        <v>456</v>
      </c>
      <c r="M20" s="204" t="e">
        <f>(H19-D19)/D19</f>
        <v>#DIV/0!</v>
      </c>
    </row>
    <row r="21" spans="1:17" x14ac:dyDescent="0.2">
      <c r="B21" s="273"/>
      <c r="C21" s="270"/>
      <c r="D21" s="166"/>
      <c r="E21" s="166"/>
      <c r="F21" s="166">
        <f>F20/2080</f>
        <v>47.392606609615378</v>
      </c>
      <c r="G21" s="166">
        <f>G20/2080</f>
        <v>50.451749541346153</v>
      </c>
      <c r="H21" s="166">
        <f>H20/2080</f>
        <v>53.575182692307692</v>
      </c>
      <c r="I21" s="270" t="s">
        <v>11</v>
      </c>
      <c r="J21" s="270"/>
      <c r="L21" s="203" t="s">
        <v>457</v>
      </c>
      <c r="M21" s="204"/>
      <c r="N21" s="204"/>
      <c r="O21" s="204"/>
      <c r="P21" s="204">
        <f>(G24-G19)/G19</f>
        <v>1.0869565217391394E-2</v>
      </c>
      <c r="Q21" s="204">
        <f>(H24-H19)/H19</f>
        <v>1.0869565217391431E-2</v>
      </c>
    </row>
    <row r="22" spans="1:17" x14ac:dyDescent="0.2">
      <c r="B22" s="273"/>
      <c r="C22" s="270"/>
      <c r="D22" s="328"/>
      <c r="E22" s="328"/>
      <c r="F22" s="328">
        <f>F20/2505.36</f>
        <v>39.346290252897781</v>
      </c>
      <c r="G22" s="328">
        <f>G20/2505.36</f>
        <v>41.88605192307692</v>
      </c>
      <c r="H22" s="328">
        <f>H20/2505.36</f>
        <v>44.479188619599576</v>
      </c>
      <c r="I22" s="270" t="s">
        <v>56</v>
      </c>
      <c r="J22" s="270"/>
    </row>
    <row r="23" spans="1:17" x14ac:dyDescent="0.2">
      <c r="B23" s="273"/>
      <c r="C23" s="270"/>
      <c r="D23" s="478"/>
      <c r="E23" s="478"/>
      <c r="F23" s="478">
        <f t="shared" ref="F23:G23" si="2">F19/F3</f>
        <v>1.1499999999999999</v>
      </c>
      <c r="G23" s="478">
        <f t="shared" si="2"/>
        <v>1.1499999999999999</v>
      </c>
      <c r="H23" s="478">
        <f>H19/$H$3</f>
        <v>1.1499999999999999</v>
      </c>
      <c r="I23" s="270"/>
      <c r="J23" s="270"/>
    </row>
    <row r="24" spans="1:17" x14ac:dyDescent="0.2">
      <c r="A24" s="273" t="s">
        <v>421</v>
      </c>
      <c r="B24" s="273" t="s">
        <v>341</v>
      </c>
      <c r="C24" s="269" t="s">
        <v>442</v>
      </c>
      <c r="D24" s="328"/>
      <c r="E24" s="328"/>
      <c r="F24" s="242"/>
      <c r="G24" s="328">
        <f>+H24*94.17%</f>
        <v>8840.0239413750005</v>
      </c>
      <c r="H24" s="328">
        <f>H3*1.1625</f>
        <v>9387.3037500000009</v>
      </c>
      <c r="I24" s="270" t="s">
        <v>10</v>
      </c>
      <c r="J24" s="270" t="s">
        <v>1064</v>
      </c>
      <c r="L24" s="203" t="s">
        <v>455</v>
      </c>
      <c r="M24" s="204"/>
      <c r="N24" s="204"/>
      <c r="O24" s="204"/>
      <c r="P24" s="204">
        <f>(H24-G24)/G24</f>
        <v>6.1909312944674569E-2</v>
      </c>
    </row>
    <row r="25" spans="1:17" x14ac:dyDescent="0.2">
      <c r="B25" s="273"/>
      <c r="C25" s="270"/>
      <c r="D25" s="328"/>
      <c r="E25" s="328"/>
      <c r="F25" s="328"/>
      <c r="G25" s="328">
        <f>12*G24</f>
        <v>106080.2872965</v>
      </c>
      <c r="H25" s="328">
        <f>12*H24</f>
        <v>112647.64500000002</v>
      </c>
      <c r="I25" s="270" t="s">
        <v>520</v>
      </c>
      <c r="J25" s="270" t="s">
        <v>1065</v>
      </c>
      <c r="L25" s="203" t="s">
        <v>456</v>
      </c>
      <c r="M25" s="204">
        <f>(H24-G24)/G24</f>
        <v>6.1909312944674569E-2</v>
      </c>
    </row>
    <row r="26" spans="1:17" x14ac:dyDescent="0.2">
      <c r="B26" s="449"/>
      <c r="C26" s="270"/>
      <c r="D26" s="328"/>
      <c r="E26" s="328"/>
      <c r="F26" s="328"/>
      <c r="G26" s="166">
        <f>G25/2080</f>
        <v>51.000138123317306</v>
      </c>
      <c r="H26" s="166">
        <f>H25/2080</f>
        <v>54.157521634615392</v>
      </c>
      <c r="I26" s="270" t="s">
        <v>11</v>
      </c>
      <c r="J26" s="270"/>
      <c r="L26" s="203" t="s">
        <v>457</v>
      </c>
      <c r="M26" s="204"/>
      <c r="N26" s="204"/>
      <c r="O26" s="204"/>
      <c r="P26" s="204">
        <f>(G29-G24)/G24</f>
        <v>0.10000000000000002</v>
      </c>
      <c r="Q26" s="204">
        <f>(H29-H24)/H24</f>
        <v>0.1000000000000001</v>
      </c>
    </row>
    <row r="27" spans="1:17" x14ac:dyDescent="0.2">
      <c r="B27" s="449"/>
      <c r="C27" s="270"/>
      <c r="D27" s="328"/>
      <c r="E27" s="328"/>
      <c r="F27" s="328"/>
      <c r="G27" s="328">
        <f>G25/2505.36</f>
        <v>42.341335096153841</v>
      </c>
      <c r="H27" s="328">
        <f>H25/2505.36</f>
        <v>44.962658061116969</v>
      </c>
      <c r="I27" s="270" t="s">
        <v>56</v>
      </c>
      <c r="J27" s="270"/>
    </row>
    <row r="28" spans="1:17" x14ac:dyDescent="0.2">
      <c r="B28" s="449"/>
      <c r="C28" s="270"/>
      <c r="D28" s="328"/>
      <c r="E28" s="328"/>
      <c r="F28" s="328"/>
      <c r="G28" s="478">
        <f>G24/G3</f>
        <v>1.1625000000000001</v>
      </c>
      <c r="H28" s="478">
        <f>H24/$H$3</f>
        <v>1.1625000000000001</v>
      </c>
      <c r="I28" s="270"/>
      <c r="J28" s="270"/>
    </row>
    <row r="29" spans="1:17" x14ac:dyDescent="0.2">
      <c r="A29" s="273" t="s">
        <v>422</v>
      </c>
      <c r="B29" s="273" t="s">
        <v>339</v>
      </c>
      <c r="C29" s="269" t="s">
        <v>443</v>
      </c>
      <c r="D29" s="328"/>
      <c r="E29" s="328"/>
      <c r="F29" s="328"/>
      <c r="G29" s="328">
        <f>+$H$29*94.17%</f>
        <v>9724.0263355125007</v>
      </c>
      <c r="H29" s="328">
        <f>$H$24*1.1</f>
        <v>10326.034125000002</v>
      </c>
      <c r="I29" s="270" t="s">
        <v>10</v>
      </c>
      <c r="J29" s="270" t="s">
        <v>1066</v>
      </c>
      <c r="L29" s="203" t="s">
        <v>455</v>
      </c>
      <c r="M29" s="204"/>
      <c r="N29" s="204"/>
      <c r="O29" s="204"/>
      <c r="P29" s="204">
        <f>(H29-G29)/G29</f>
        <v>6.1909312944674645E-2</v>
      </c>
    </row>
    <row r="30" spans="1:17" x14ac:dyDescent="0.2">
      <c r="B30" s="273"/>
      <c r="C30" s="270"/>
      <c r="D30" s="328"/>
      <c r="E30" s="328"/>
      <c r="F30" s="183"/>
      <c r="G30" s="328">
        <f>12*G29</f>
        <v>116688.31602615002</v>
      </c>
      <c r="H30" s="328">
        <f>12*H29</f>
        <v>123912.40950000002</v>
      </c>
      <c r="I30" s="270" t="s">
        <v>520</v>
      </c>
      <c r="J30" s="479">
        <v>1.1000000000000001</v>
      </c>
      <c r="L30" s="203" t="s">
        <v>456</v>
      </c>
      <c r="M30" s="204">
        <f>(H29-G29)/G29</f>
        <v>6.1909312944674645E-2</v>
      </c>
    </row>
    <row r="31" spans="1:17" x14ac:dyDescent="0.2">
      <c r="B31" s="449"/>
      <c r="C31" s="270"/>
      <c r="D31" s="328"/>
      <c r="E31" s="328"/>
      <c r="F31" s="328"/>
      <c r="G31" s="166">
        <f>G30/2080</f>
        <v>56.100151935649045</v>
      </c>
      <c r="H31" s="166">
        <f>H30/2080</f>
        <v>59.573273798076933</v>
      </c>
      <c r="I31" s="270" t="s">
        <v>11</v>
      </c>
      <c r="J31" s="270"/>
      <c r="L31" s="203" t="s">
        <v>457</v>
      </c>
      <c r="M31" s="204"/>
      <c r="N31" s="204"/>
      <c r="O31" s="204"/>
      <c r="P31" s="204">
        <f>(G34-G29)/G29</f>
        <v>0</v>
      </c>
      <c r="Q31" s="204">
        <f>(H34-H29)/H29</f>
        <v>0</v>
      </c>
    </row>
    <row r="32" spans="1:17" x14ac:dyDescent="0.2">
      <c r="B32" s="273"/>
      <c r="C32" s="270"/>
      <c r="D32" s="328"/>
      <c r="E32" s="328"/>
      <c r="F32" s="328"/>
      <c r="G32" s="328">
        <f>G30/2505.36</f>
        <v>46.575468605769238</v>
      </c>
      <c r="H32" s="328">
        <f>H30/2505.36</f>
        <v>49.45892386722867</v>
      </c>
      <c r="I32" s="270" t="s">
        <v>56</v>
      </c>
      <c r="J32" s="270"/>
    </row>
    <row r="33" spans="1:17" x14ac:dyDescent="0.2">
      <c r="B33" s="273"/>
      <c r="C33" s="270"/>
      <c r="D33" s="328"/>
      <c r="E33" s="328"/>
      <c r="F33" s="328"/>
      <c r="G33" s="478">
        <f>G29/G3</f>
        <v>1.2787500000000001</v>
      </c>
      <c r="H33" s="478">
        <f>H29/H3</f>
        <v>1.2787500000000003</v>
      </c>
      <c r="I33" s="270"/>
      <c r="J33" s="270"/>
    </row>
    <row r="34" spans="1:17" x14ac:dyDescent="0.2">
      <c r="A34" s="273" t="s">
        <v>423</v>
      </c>
      <c r="B34" s="273" t="s">
        <v>340</v>
      </c>
      <c r="C34" s="269" t="s">
        <v>444</v>
      </c>
      <c r="D34" s="242"/>
      <c r="E34" s="242"/>
      <c r="F34" s="183"/>
      <c r="G34" s="328">
        <f>+$H$34*94.17%</f>
        <v>9724.0263355125007</v>
      </c>
      <c r="H34" s="328">
        <f>$H$24*1.1</f>
        <v>10326.034125000002</v>
      </c>
      <c r="I34" s="270" t="s">
        <v>10</v>
      </c>
      <c r="J34" s="270" t="s">
        <v>1067</v>
      </c>
      <c r="L34" s="203" t="s">
        <v>455</v>
      </c>
      <c r="M34" s="204"/>
      <c r="N34" s="204"/>
      <c r="O34" s="204"/>
      <c r="P34" s="204">
        <f>(H34-G34)/G34</f>
        <v>6.1909312944674645E-2</v>
      </c>
    </row>
    <row r="35" spans="1:17" x14ac:dyDescent="0.2">
      <c r="B35" s="273"/>
      <c r="C35" s="270"/>
      <c r="D35" s="328"/>
      <c r="E35" s="328"/>
      <c r="F35" s="328"/>
      <c r="G35" s="328">
        <f>12*G34</f>
        <v>116688.31602615002</v>
      </c>
      <c r="H35" s="328">
        <f>12*H34</f>
        <v>123912.40950000002</v>
      </c>
      <c r="I35" s="270" t="s">
        <v>520</v>
      </c>
      <c r="J35" s="270" t="s">
        <v>1065</v>
      </c>
      <c r="L35" s="203" t="s">
        <v>456</v>
      </c>
      <c r="M35" s="204">
        <f>(H34-G34)/G34</f>
        <v>6.1909312944674645E-2</v>
      </c>
    </row>
    <row r="36" spans="1:17" x14ac:dyDescent="0.2">
      <c r="B36" s="273"/>
      <c r="C36" s="270"/>
      <c r="D36" s="328"/>
      <c r="E36" s="328"/>
      <c r="F36" s="328"/>
      <c r="G36" s="166">
        <f>G35/2080</f>
        <v>56.100151935649045</v>
      </c>
      <c r="H36" s="166">
        <f>H35/2080</f>
        <v>59.573273798076933</v>
      </c>
      <c r="I36" s="270" t="s">
        <v>11</v>
      </c>
      <c r="J36" s="270"/>
      <c r="L36" s="203" t="s">
        <v>457</v>
      </c>
      <c r="M36" s="204"/>
      <c r="N36" s="204"/>
      <c r="O36" s="204"/>
      <c r="P36" s="204">
        <f>(G39-G34)/G34</f>
        <v>0.10000000000000017</v>
      </c>
      <c r="Q36" s="204">
        <f>(H39-H34)/H34</f>
        <v>0.10000000000000003</v>
      </c>
    </row>
    <row r="37" spans="1:17" x14ac:dyDescent="0.2">
      <c r="B37" s="273"/>
      <c r="C37" s="270"/>
      <c r="D37" s="328"/>
      <c r="E37" s="328"/>
      <c r="F37" s="328"/>
      <c r="G37" s="328">
        <f>G35/2505.36</f>
        <v>46.575468605769238</v>
      </c>
      <c r="H37" s="328">
        <f>H35/2505.36</f>
        <v>49.45892386722867</v>
      </c>
      <c r="I37" s="270" t="s">
        <v>56</v>
      </c>
      <c r="J37" s="270"/>
    </row>
    <row r="38" spans="1:17" x14ac:dyDescent="0.2">
      <c r="B38" s="273"/>
      <c r="C38" s="270"/>
      <c r="D38" s="328"/>
      <c r="E38" s="328"/>
      <c r="F38" s="480" t="s">
        <v>1068</v>
      </c>
      <c r="G38" s="478">
        <f>G34/G24</f>
        <v>1.1000000000000001</v>
      </c>
      <c r="H38" s="478">
        <f>H34/H24</f>
        <v>1.1000000000000001</v>
      </c>
      <c r="I38" s="270"/>
      <c r="J38" s="270"/>
    </row>
    <row r="39" spans="1:17" x14ac:dyDescent="0.2">
      <c r="A39" s="273" t="s">
        <v>415</v>
      </c>
      <c r="B39" s="273" t="s">
        <v>342</v>
      </c>
      <c r="C39" s="269" t="s">
        <v>445</v>
      </c>
      <c r="D39" s="328"/>
      <c r="E39" s="328"/>
      <c r="F39" s="328"/>
      <c r="G39" s="328">
        <f>+H39*94.17%</f>
        <v>10696.428969063752</v>
      </c>
      <c r="H39" s="328">
        <f>H34*1.1</f>
        <v>11358.637537500003</v>
      </c>
      <c r="I39" s="270" t="s">
        <v>10</v>
      </c>
      <c r="J39" s="270" t="s">
        <v>1069</v>
      </c>
      <c r="L39" s="203" t="s">
        <v>455</v>
      </c>
      <c r="M39" s="204"/>
      <c r="N39" s="204"/>
      <c r="O39" s="204"/>
      <c r="P39" s="204">
        <f>(H39-G39)/G39</f>
        <v>6.1909312944674513E-2</v>
      </c>
      <c r="Q39" s="204"/>
    </row>
    <row r="40" spans="1:17" x14ac:dyDescent="0.2">
      <c r="B40" s="273"/>
      <c r="C40" s="270"/>
      <c r="D40" s="328"/>
      <c r="E40" s="328"/>
      <c r="F40" s="328"/>
      <c r="G40" s="328">
        <f>12*G39</f>
        <v>128357.14762876503</v>
      </c>
      <c r="H40" s="328">
        <f>12*H39</f>
        <v>136303.65045000002</v>
      </c>
      <c r="I40" s="270" t="s">
        <v>520</v>
      </c>
      <c r="J40" s="270"/>
      <c r="L40" s="203" t="s">
        <v>456</v>
      </c>
      <c r="M40" s="204">
        <f>(H39-G39)/G39</f>
        <v>6.1909312944674513E-2</v>
      </c>
    </row>
    <row r="41" spans="1:17" x14ac:dyDescent="0.2">
      <c r="B41" s="449"/>
      <c r="C41" s="270"/>
      <c r="D41" s="328"/>
      <c r="E41" s="328"/>
      <c r="F41" s="328"/>
      <c r="G41" s="166">
        <f>G40/2080</f>
        <v>61.710167129213957</v>
      </c>
      <c r="H41" s="166">
        <f>H40/2080</f>
        <v>65.53060117788462</v>
      </c>
      <c r="I41" s="270" t="s">
        <v>11</v>
      </c>
      <c r="J41" s="270"/>
    </row>
    <row r="42" spans="1:17" x14ac:dyDescent="0.2">
      <c r="B42" s="449"/>
      <c r="C42" s="270"/>
      <c r="D42" s="328"/>
      <c r="E42" s="328"/>
      <c r="F42" s="481"/>
      <c r="G42" s="328">
        <f>G40/2505.36</f>
        <v>51.23301546634616</v>
      </c>
      <c r="H42" s="328">
        <f>H40/2505.36</f>
        <v>54.40481625395153</v>
      </c>
      <c r="I42" s="270" t="s">
        <v>56</v>
      </c>
      <c r="J42" s="270"/>
    </row>
    <row r="43" spans="1:17" ht="14.45" customHeight="1" x14ac:dyDescent="0.2">
      <c r="F43" s="482"/>
      <c r="G43" s="483">
        <f>G39/G3</f>
        <v>1.4066250000000002</v>
      </c>
      <c r="H43" s="483">
        <f>H39/$H$3</f>
        <v>1.4066250000000002</v>
      </c>
      <c r="J43" s="270"/>
    </row>
    <row r="44" spans="1:17" ht="15.75" x14ac:dyDescent="0.2">
      <c r="A44" s="678"/>
      <c r="B44" s="678"/>
      <c r="C44" s="678"/>
      <c r="D44" s="678"/>
      <c r="E44" s="678"/>
      <c r="F44" s="678"/>
      <c r="G44" s="678"/>
      <c r="H44" s="678"/>
      <c r="I44" s="678"/>
      <c r="J44" s="270"/>
    </row>
    <row r="45" spans="1:17" x14ac:dyDescent="0.2">
      <c r="B45" s="449"/>
      <c r="C45" s="270"/>
      <c r="D45" s="336"/>
      <c r="E45" s="336"/>
      <c r="F45" s="336"/>
      <c r="G45" s="336"/>
      <c r="H45" s="336"/>
      <c r="I45" s="270"/>
      <c r="J45" s="270"/>
    </row>
    <row r="46" spans="1:17" x14ac:dyDescent="0.2">
      <c r="B46" s="449"/>
      <c r="C46" s="270"/>
      <c r="D46" s="336"/>
      <c r="E46" s="336"/>
      <c r="F46" s="336"/>
      <c r="G46" s="336"/>
      <c r="H46" s="336"/>
      <c r="I46" s="270"/>
      <c r="J46" s="270"/>
    </row>
    <row r="47" spans="1:17" x14ac:dyDescent="0.2">
      <c r="B47" s="449"/>
      <c r="C47" s="270"/>
      <c r="D47" s="336"/>
      <c r="E47" s="336"/>
      <c r="F47" s="336"/>
      <c r="G47" s="336"/>
      <c r="H47" s="336"/>
      <c r="I47" s="270"/>
      <c r="J47" s="270"/>
    </row>
    <row r="48" spans="1:17" x14ac:dyDescent="0.2">
      <c r="B48" s="449"/>
      <c r="C48" s="270"/>
      <c r="D48" s="336"/>
      <c r="E48" s="336"/>
      <c r="F48" s="336"/>
      <c r="G48" s="336"/>
      <c r="H48" s="336"/>
      <c r="I48" s="270"/>
      <c r="J48" s="270"/>
    </row>
    <row r="49" spans="2:10" x14ac:dyDescent="0.2">
      <c r="B49" s="449"/>
      <c r="C49" s="270"/>
      <c r="D49" s="336"/>
      <c r="E49" s="336"/>
      <c r="F49" s="336"/>
      <c r="G49" s="336"/>
      <c r="H49" s="336"/>
      <c r="I49" s="270"/>
      <c r="J49" s="270"/>
    </row>
    <row r="50" spans="2:10" x14ac:dyDescent="0.2">
      <c r="B50" s="449"/>
      <c r="C50" s="270"/>
      <c r="D50" s="336"/>
      <c r="E50" s="336"/>
      <c r="F50" s="336"/>
      <c r="G50" s="336"/>
      <c r="H50" s="336"/>
      <c r="I50" s="270"/>
      <c r="J50" s="270"/>
    </row>
    <row r="51" spans="2:10" x14ac:dyDescent="0.2">
      <c r="B51" s="449"/>
      <c r="C51" s="270"/>
      <c r="D51" s="336"/>
      <c r="E51" s="336"/>
      <c r="F51" s="336"/>
      <c r="G51" s="336"/>
      <c r="H51" s="336"/>
      <c r="I51" s="270"/>
      <c r="J51" s="270"/>
    </row>
    <row r="52" spans="2:10" x14ac:dyDescent="0.2">
      <c r="B52" s="449"/>
      <c r="C52" s="270"/>
      <c r="D52" s="336"/>
      <c r="E52" s="336"/>
      <c r="F52" s="336"/>
      <c r="G52" s="336"/>
      <c r="H52" s="336"/>
      <c r="I52" s="270"/>
      <c r="J52" s="270"/>
    </row>
    <row r="53" spans="2:10" x14ac:dyDescent="0.2">
      <c r="B53" s="449"/>
      <c r="C53" s="270"/>
      <c r="D53" s="336"/>
      <c r="E53" s="336"/>
      <c r="F53" s="336"/>
      <c r="G53" s="336"/>
      <c r="H53" s="336"/>
      <c r="I53" s="270"/>
      <c r="J53" s="270"/>
    </row>
    <row r="54" spans="2:10" x14ac:dyDescent="0.2">
      <c r="B54" s="449"/>
      <c r="C54" s="270"/>
      <c r="D54" s="336"/>
      <c r="E54" s="336"/>
      <c r="F54" s="336"/>
      <c r="G54" s="336"/>
      <c r="H54" s="336"/>
      <c r="I54" s="270"/>
      <c r="J54" s="270"/>
    </row>
    <row r="55" spans="2:10" x14ac:dyDescent="0.2">
      <c r="B55" s="449"/>
      <c r="C55" s="270"/>
      <c r="D55" s="336"/>
      <c r="E55" s="336"/>
      <c r="F55" s="336"/>
      <c r="G55" s="336"/>
      <c r="H55" s="336"/>
      <c r="I55" s="270"/>
      <c r="J55" s="270"/>
    </row>
    <row r="56" spans="2:10" x14ac:dyDescent="0.2">
      <c r="B56" s="449"/>
      <c r="C56" s="270"/>
      <c r="D56" s="336"/>
      <c r="E56" s="336"/>
      <c r="F56" s="336"/>
      <c r="G56" s="336"/>
      <c r="H56" s="336"/>
      <c r="I56" s="270"/>
      <c r="J56" s="270"/>
    </row>
    <row r="57" spans="2:10" x14ac:dyDescent="0.2">
      <c r="B57" s="449"/>
      <c r="C57" s="270"/>
      <c r="D57" s="336"/>
      <c r="E57" s="336"/>
      <c r="F57" s="336"/>
      <c r="G57" s="336"/>
      <c r="H57" s="336"/>
      <c r="I57" s="270"/>
      <c r="J57" s="270"/>
    </row>
    <row r="58" spans="2:10" x14ac:dyDescent="0.2">
      <c r="B58" s="449"/>
      <c r="C58" s="270"/>
      <c r="D58" s="336"/>
      <c r="E58" s="336"/>
      <c r="F58" s="336"/>
      <c r="G58" s="336"/>
      <c r="H58" s="336"/>
      <c r="I58" s="270"/>
      <c r="J58" s="270"/>
    </row>
    <row r="59" spans="2:10" x14ac:dyDescent="0.2">
      <c r="B59" s="449"/>
      <c r="C59" s="270"/>
      <c r="D59" s="336"/>
      <c r="E59" s="336"/>
      <c r="F59" s="336"/>
      <c r="G59" s="336"/>
      <c r="H59" s="336"/>
      <c r="I59" s="270"/>
      <c r="J59" s="270"/>
    </row>
    <row r="60" spans="2:10" x14ac:dyDescent="0.2">
      <c r="B60" s="449"/>
      <c r="C60" s="270"/>
      <c r="D60" s="336"/>
      <c r="E60" s="336"/>
      <c r="F60" s="336"/>
      <c r="G60" s="336"/>
      <c r="H60" s="336"/>
      <c r="I60" s="270"/>
      <c r="J60" s="270"/>
    </row>
    <row r="61" spans="2:10" x14ac:dyDescent="0.2">
      <c r="B61" s="449"/>
      <c r="C61" s="270"/>
      <c r="D61" s="336"/>
      <c r="E61" s="336"/>
      <c r="F61" s="336"/>
      <c r="G61" s="336"/>
      <c r="H61" s="336"/>
      <c r="I61" s="270"/>
      <c r="J61" s="270"/>
    </row>
    <row r="62" spans="2:10" x14ac:dyDescent="0.2">
      <c r="B62" s="449"/>
      <c r="C62" s="270"/>
      <c r="D62" s="336"/>
      <c r="E62" s="336"/>
      <c r="F62" s="336"/>
      <c r="G62" s="336"/>
      <c r="H62" s="336"/>
      <c r="I62" s="270"/>
      <c r="J62" s="270"/>
    </row>
  </sheetData>
  <mergeCells count="6">
    <mergeCell ref="M1:P1"/>
    <mergeCell ref="A44:I44"/>
    <mergeCell ref="A1:A2"/>
    <mergeCell ref="B1:B2"/>
    <mergeCell ref="C1:C2"/>
    <mergeCell ref="D1:H1"/>
  </mergeCells>
  <printOptions horizontalCentered="1" gridLines="1"/>
  <pageMargins left="0.25" right="0.25" top="2" bottom="1" header="0.5" footer="0.5"/>
  <pageSetup scale="95" orientation="portrait" r:id="rId1"/>
  <headerFooter alignWithMargins="0">
    <oddHeader>&amp;LOrdinance #   (budget adoption)
Resolution # 9403 (2016-19 CBA adoption)&amp;C&amp;"Arial,Bold"&amp;16
2019 PAY PLAN
&amp;14INTERNATIONAL ASSOCIATION OF FIREFIGHTERS UNION, LOCAL #1604
LINE PERSONNEL</oddHeader>
    <oddFooter xml:space="preserve">&amp;C&amp;"Arial,Bold"&amp;16&amp;A&amp;REffective 01/01/19,
System Update 01/xx/19 </oddFooter>
  </headerFooter>
  <ignoredErrors>
    <ignoredError sqref="M16:N16 M19:N19 M20 M14:N14 M15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C035-ADB4-4C62-B11C-C5D9319AE6D9}">
  <sheetPr codeName="Sheet6">
    <tabColor rgb="FFFFFFCC"/>
  </sheetPr>
  <dimension ref="A2:L143"/>
  <sheetViews>
    <sheetView zoomScale="115" zoomScaleNormal="115" workbookViewId="0"/>
  </sheetViews>
  <sheetFormatPr defaultColWidth="11.42578125" defaultRowHeight="18" customHeight="1" x14ac:dyDescent="0.2"/>
  <cols>
    <col min="1" max="1" width="7.42578125" style="541" bestFit="1" customWidth="1"/>
    <col min="2" max="2" width="15.140625" style="484" bestFit="1" customWidth="1"/>
    <col min="3" max="3" width="30" style="484" bestFit="1" customWidth="1"/>
    <col min="4" max="4" width="6.85546875" style="542" customWidth="1"/>
    <col min="5" max="5" width="10.42578125" style="543" customWidth="1"/>
    <col min="6" max="8" width="10.42578125" style="484" customWidth="1"/>
    <col min="9" max="9" width="11.140625" style="484" customWidth="1"/>
    <col min="10" max="16384" width="11.42578125" style="484"/>
  </cols>
  <sheetData>
    <row r="2" spans="1:12" ht="18" customHeight="1" thickBot="1" x14ac:dyDescent="0.25">
      <c r="A2" s="682" t="s">
        <v>1070</v>
      </c>
      <c r="B2" s="683"/>
      <c r="C2" s="683"/>
      <c r="D2" s="683"/>
      <c r="E2" s="683"/>
    </row>
    <row r="3" spans="1:12" ht="39" thickBot="1" x14ac:dyDescent="0.25">
      <c r="A3" s="81" t="s">
        <v>464</v>
      </c>
      <c r="B3" s="81" t="s">
        <v>465</v>
      </c>
      <c r="C3" s="81" t="s">
        <v>466</v>
      </c>
      <c r="D3" s="82" t="s">
        <v>1071</v>
      </c>
      <c r="E3" s="83" t="s">
        <v>547</v>
      </c>
      <c r="F3" s="84"/>
      <c r="G3" s="684" t="s">
        <v>1094</v>
      </c>
      <c r="H3" s="685"/>
      <c r="I3" s="685"/>
      <c r="J3" s="36"/>
      <c r="K3" s="36"/>
      <c r="L3" s="36"/>
    </row>
    <row r="4" spans="1:12" ht="13.5" customHeight="1" x14ac:dyDescent="0.2">
      <c r="A4" s="485">
        <v>1072</v>
      </c>
      <c r="B4" s="486" t="s">
        <v>557</v>
      </c>
      <c r="C4" s="487" t="s">
        <v>1072</v>
      </c>
      <c r="D4" s="459">
        <v>0.02</v>
      </c>
      <c r="E4" s="488">
        <f>'F - Firefighters (rep)'!$H$3*D4</f>
        <v>161.50200000000001</v>
      </c>
      <c r="F4" s="85"/>
      <c r="G4" s="85"/>
      <c r="H4" s="86"/>
      <c r="I4" s="489"/>
    </row>
    <row r="5" spans="1:12" ht="13.5" customHeight="1" x14ac:dyDescent="0.2">
      <c r="A5" s="485">
        <v>1074</v>
      </c>
      <c r="B5" s="486" t="s">
        <v>558</v>
      </c>
      <c r="C5" s="487" t="s">
        <v>1073</v>
      </c>
      <c r="D5" s="459">
        <v>0.04</v>
      </c>
      <c r="E5" s="488">
        <f>'F - Firefighters (rep)'!$H$3*D5</f>
        <v>323.00400000000002</v>
      </c>
      <c r="F5" s="490"/>
      <c r="G5" s="489"/>
      <c r="H5" s="491"/>
      <c r="I5" s="489"/>
    </row>
    <row r="6" spans="1:12" ht="13.5" customHeight="1" x14ac:dyDescent="0.2">
      <c r="A6" s="485">
        <v>1076</v>
      </c>
      <c r="B6" s="486" t="s">
        <v>560</v>
      </c>
      <c r="C6" s="487" t="s">
        <v>559</v>
      </c>
      <c r="D6" s="459">
        <v>0.02</v>
      </c>
      <c r="E6" s="488">
        <f>'F - Firefighters (rep)'!$H$3*D6</f>
        <v>161.50200000000001</v>
      </c>
      <c r="F6" s="490"/>
      <c r="G6" s="85" t="s">
        <v>1074</v>
      </c>
      <c r="H6" s="491"/>
      <c r="I6" s="489"/>
    </row>
    <row r="7" spans="1:12" ht="13.5" customHeight="1" x14ac:dyDescent="0.2">
      <c r="A7" s="485">
        <v>1060</v>
      </c>
      <c r="B7" s="486" t="s">
        <v>556</v>
      </c>
      <c r="C7" s="487" t="s">
        <v>1075</v>
      </c>
      <c r="D7" s="459">
        <v>0.02</v>
      </c>
      <c r="E7" s="488">
        <f>'F - Firefighters (rep)'!$H$3*D7</f>
        <v>161.50200000000001</v>
      </c>
      <c r="F7" s="490"/>
      <c r="G7" s="85" t="s">
        <v>1076</v>
      </c>
      <c r="H7" s="491"/>
      <c r="I7" s="489"/>
    </row>
    <row r="8" spans="1:12" ht="13.5" customHeight="1" x14ac:dyDescent="0.2">
      <c r="A8" s="485">
        <v>1056</v>
      </c>
      <c r="B8" s="486" t="s">
        <v>553</v>
      </c>
      <c r="C8" s="487" t="s">
        <v>1077</v>
      </c>
      <c r="D8" s="459">
        <v>0.02</v>
      </c>
      <c r="E8" s="488">
        <f>'F - Firefighters (rep)'!$H$3*D8</f>
        <v>161.50200000000001</v>
      </c>
      <c r="F8" s="490"/>
      <c r="G8" s="85" t="s">
        <v>1095</v>
      </c>
      <c r="H8" s="491"/>
      <c r="I8" s="489"/>
    </row>
    <row r="9" spans="1:12" ht="13.5" customHeight="1" x14ac:dyDescent="0.2">
      <c r="A9" s="485">
        <v>1058</v>
      </c>
      <c r="B9" s="486" t="s">
        <v>555</v>
      </c>
      <c r="C9" s="487" t="s">
        <v>554</v>
      </c>
      <c r="D9" s="459">
        <v>0.04</v>
      </c>
      <c r="E9" s="488">
        <f>'F - Firefighters (rep)'!$H$3*D9</f>
        <v>323.00400000000002</v>
      </c>
      <c r="F9" s="85"/>
      <c r="G9" s="85"/>
      <c r="H9" s="86"/>
      <c r="I9" s="489"/>
    </row>
    <row r="10" spans="1:12" ht="9.75" customHeight="1" x14ac:dyDescent="0.2">
      <c r="A10" s="485"/>
      <c r="B10" s="486"/>
      <c r="C10" s="487"/>
      <c r="D10" s="459"/>
      <c r="E10" s="488"/>
      <c r="F10" s="85"/>
      <c r="G10" s="85"/>
      <c r="H10" s="86"/>
      <c r="I10" s="489"/>
    </row>
    <row r="11" spans="1:12" ht="28.5" customHeight="1" x14ac:dyDescent="0.2">
      <c r="A11" s="492">
        <v>1078</v>
      </c>
      <c r="B11" s="493" t="s">
        <v>561</v>
      </c>
      <c r="C11" s="494" t="s">
        <v>1078</v>
      </c>
      <c r="D11" s="495" t="s">
        <v>386</v>
      </c>
      <c r="E11" s="496">
        <v>120</v>
      </c>
      <c r="F11" s="490"/>
      <c r="G11" s="490"/>
      <c r="H11" s="491"/>
      <c r="I11" s="489"/>
    </row>
    <row r="12" spans="1:12" ht="3.75" customHeight="1" x14ac:dyDescent="0.2">
      <c r="A12" s="497"/>
      <c r="B12" s="498"/>
      <c r="C12" s="499"/>
      <c r="D12" s="500"/>
      <c r="E12" s="501"/>
      <c r="F12" s="490"/>
      <c r="G12" s="490"/>
      <c r="H12" s="491"/>
      <c r="I12" s="489"/>
    </row>
    <row r="13" spans="1:12" ht="40.5" customHeight="1" x14ac:dyDescent="0.2">
      <c r="A13" s="497"/>
      <c r="B13" s="686" t="s">
        <v>1079</v>
      </c>
      <c r="C13" s="687"/>
      <c r="D13" s="502">
        <v>2.5000000000000001E-2</v>
      </c>
      <c r="E13" s="503" t="s">
        <v>1080</v>
      </c>
      <c r="F13" s="490"/>
      <c r="G13" s="490"/>
      <c r="H13" s="491"/>
      <c r="I13" s="489"/>
    </row>
    <row r="14" spans="1:12" ht="3.75" customHeight="1" x14ac:dyDescent="0.2">
      <c r="A14" s="497"/>
      <c r="B14" s="498"/>
      <c r="C14" s="504"/>
      <c r="D14" s="502"/>
      <c r="E14" s="505"/>
      <c r="F14" s="490"/>
      <c r="G14" s="490"/>
      <c r="H14" s="491"/>
      <c r="I14" s="489"/>
    </row>
    <row r="15" spans="1:12" ht="16.5" customHeight="1" thickBot="1" x14ac:dyDescent="0.25">
      <c r="A15" s="497"/>
      <c r="B15" s="506"/>
      <c r="C15" s="507" t="s">
        <v>1081</v>
      </c>
      <c r="D15" s="460"/>
      <c r="E15" s="508"/>
      <c r="F15" s="490"/>
      <c r="G15" s="490"/>
      <c r="H15" s="491"/>
      <c r="I15" s="489"/>
    </row>
    <row r="16" spans="1:12" ht="12.75" x14ac:dyDescent="0.2">
      <c r="A16" s="509"/>
      <c r="B16" s="510"/>
      <c r="C16" s="511"/>
      <c r="D16" s="512"/>
      <c r="E16" s="513"/>
      <c r="F16" s="490"/>
      <c r="G16" s="490"/>
      <c r="H16" s="491"/>
      <c r="I16" s="489"/>
    </row>
    <row r="17" spans="1:12" ht="25.5" customHeight="1" thickBot="1" x14ac:dyDescent="0.25">
      <c r="A17" s="514"/>
      <c r="B17" s="515"/>
      <c r="C17" s="515"/>
      <c r="D17" s="512"/>
      <c r="E17" s="490"/>
      <c r="F17" s="490"/>
      <c r="G17" s="490"/>
      <c r="H17" s="491"/>
      <c r="I17" s="491"/>
    </row>
    <row r="18" spans="1:12" ht="16.5" thickBot="1" x14ac:dyDescent="0.25">
      <c r="A18" s="688" t="s">
        <v>464</v>
      </c>
      <c r="B18" s="688" t="s">
        <v>465</v>
      </c>
      <c r="C18" s="693" t="s">
        <v>466</v>
      </c>
      <c r="D18" s="696" t="s">
        <v>468</v>
      </c>
      <c r="E18" s="697" t="s">
        <v>531</v>
      </c>
      <c r="F18" s="698"/>
      <c r="G18" s="698"/>
      <c r="H18" s="698"/>
      <c r="I18" s="699"/>
      <c r="J18" s="36"/>
      <c r="K18" s="36"/>
      <c r="L18" s="36"/>
    </row>
    <row r="19" spans="1:12" ht="13.5" customHeight="1" x14ac:dyDescent="0.2">
      <c r="A19" s="689"/>
      <c r="B19" s="691"/>
      <c r="C19" s="694"/>
      <c r="D19" s="689"/>
      <c r="E19" s="74" t="s">
        <v>469</v>
      </c>
      <c r="F19" s="74" t="s">
        <v>470</v>
      </c>
      <c r="G19" s="74" t="s">
        <v>471</v>
      </c>
      <c r="H19" s="74" t="s">
        <v>472</v>
      </c>
      <c r="I19" s="74" t="s">
        <v>473</v>
      </c>
    </row>
    <row r="20" spans="1:12" ht="13.5" customHeight="1" thickBot="1" x14ac:dyDescent="0.25">
      <c r="A20" s="690"/>
      <c r="B20" s="692"/>
      <c r="C20" s="695"/>
      <c r="D20" s="690"/>
      <c r="E20" s="516">
        <f>'F - Firefighters (rep)'!D3</f>
        <v>6351.0661500000006</v>
      </c>
      <c r="F20" s="516">
        <f>'F - Firefighters (rep)'!E3</f>
        <v>6661.1499899999999</v>
      </c>
      <c r="G20" s="516">
        <f>'F - Firefighters (rep)'!F3</f>
        <v>7143.2334599999995</v>
      </c>
      <c r="H20" s="516">
        <f>'F - Firefighters (rep)'!G3</f>
        <v>7604.3216700000003</v>
      </c>
      <c r="I20" s="516">
        <f>'F - Firefighters (rep)'!H3</f>
        <v>8075.1</v>
      </c>
    </row>
    <row r="21" spans="1:12" ht="13.5" customHeight="1" x14ac:dyDescent="0.2">
      <c r="A21" s="517">
        <v>1032</v>
      </c>
      <c r="B21" s="518" t="s">
        <v>551</v>
      </c>
      <c r="C21" s="519" t="s">
        <v>653</v>
      </c>
      <c r="D21" s="520">
        <v>2.5000000000000001E-2</v>
      </c>
      <c r="E21" s="521">
        <f>D21*$E$20</f>
        <v>158.77665375000004</v>
      </c>
      <c r="F21" s="521">
        <f>D21*$F$20</f>
        <v>166.52874975</v>
      </c>
      <c r="G21" s="521">
        <f>D21*$G$20</f>
        <v>178.5808365</v>
      </c>
      <c r="H21" s="521">
        <f>D21*$H$20</f>
        <v>190.10804175000001</v>
      </c>
      <c r="I21" s="521">
        <f>D21*$I$20</f>
        <v>201.87750000000003</v>
      </c>
    </row>
    <row r="22" spans="1:12" ht="13.5" customHeight="1" x14ac:dyDescent="0.2">
      <c r="A22" s="485">
        <v>1034</v>
      </c>
      <c r="B22" s="458" t="s">
        <v>551</v>
      </c>
      <c r="C22" s="486" t="s">
        <v>654</v>
      </c>
      <c r="D22" s="459">
        <v>3.5000000000000003E-2</v>
      </c>
      <c r="E22" s="488">
        <f>D22*$E$20</f>
        <v>222.28731525000003</v>
      </c>
      <c r="F22" s="488">
        <f>D22*$F$20</f>
        <v>233.14024965000002</v>
      </c>
      <c r="G22" s="488">
        <f>D22*$G$20</f>
        <v>250.01317109999999</v>
      </c>
      <c r="H22" s="488">
        <f>D22*$H$20</f>
        <v>266.15125845000006</v>
      </c>
      <c r="I22" s="488">
        <f>D22*$I$20</f>
        <v>282.62850000000003</v>
      </c>
    </row>
    <row r="23" spans="1:12" ht="13.5" customHeight="1" x14ac:dyDescent="0.2">
      <c r="A23" s="485">
        <v>1036</v>
      </c>
      <c r="B23" s="458" t="s">
        <v>551</v>
      </c>
      <c r="C23" s="486" t="s">
        <v>655</v>
      </c>
      <c r="D23" s="459">
        <v>0.04</v>
      </c>
      <c r="E23" s="488">
        <f>D23*$E$20</f>
        <v>254.04264600000002</v>
      </c>
      <c r="F23" s="488">
        <f>D23*$F$20</f>
        <v>266.44599959999999</v>
      </c>
      <c r="G23" s="488">
        <f>D23*$G$20</f>
        <v>285.72933839999996</v>
      </c>
      <c r="H23" s="488">
        <f>D23*$H$20</f>
        <v>304.17286680000001</v>
      </c>
      <c r="I23" s="488">
        <f>D23*$I$20</f>
        <v>323.00400000000002</v>
      </c>
    </row>
    <row r="24" spans="1:12" ht="13.5" customHeight="1" x14ac:dyDescent="0.2">
      <c r="A24" s="485">
        <v>1033</v>
      </c>
      <c r="B24" s="458" t="s">
        <v>551</v>
      </c>
      <c r="C24" s="486" t="s">
        <v>552</v>
      </c>
      <c r="D24" s="459">
        <v>2.5000000000000001E-2</v>
      </c>
      <c r="E24" s="488"/>
      <c r="F24" s="488">
        <f>D24*$F$20</f>
        <v>166.52874975</v>
      </c>
      <c r="G24" s="488">
        <f>D24*$G$20</f>
        <v>178.5808365</v>
      </c>
      <c r="H24" s="488">
        <f>D24*$H$20</f>
        <v>190.10804175000001</v>
      </c>
      <c r="I24" s="488">
        <f>D24*$I$20</f>
        <v>201.87750000000003</v>
      </c>
    </row>
    <row r="25" spans="1:12" ht="13.5" customHeight="1" x14ac:dyDescent="0.2">
      <c r="A25" s="485"/>
      <c r="B25" s="458"/>
      <c r="C25" s="486"/>
      <c r="D25" s="459"/>
      <c r="E25" s="488"/>
      <c r="F25" s="488"/>
      <c r="G25" s="488"/>
      <c r="H25" s="488"/>
      <c r="I25" s="488"/>
    </row>
    <row r="26" spans="1:12" ht="13.5" customHeight="1" x14ac:dyDescent="0.2">
      <c r="A26" s="485">
        <v>1067</v>
      </c>
      <c r="B26" s="469" t="s">
        <v>562</v>
      </c>
      <c r="C26" s="486" t="s">
        <v>1082</v>
      </c>
      <c r="D26" s="459">
        <v>2.5000000000000001E-2</v>
      </c>
      <c r="E26" s="488">
        <f>D26*$E$20</f>
        <v>158.77665375000004</v>
      </c>
      <c r="F26" s="488">
        <f>D26*$F$20</f>
        <v>166.52874975</v>
      </c>
      <c r="G26" s="488">
        <f>D26*$G$20</f>
        <v>178.5808365</v>
      </c>
      <c r="H26" s="488">
        <f>D26*$H$20</f>
        <v>190.10804175000001</v>
      </c>
      <c r="I26" s="488">
        <f>D26*$I$20</f>
        <v>201.87750000000003</v>
      </c>
    </row>
    <row r="27" spans="1:12" ht="13.5" customHeight="1" x14ac:dyDescent="0.2">
      <c r="A27" s="485" t="s">
        <v>763</v>
      </c>
      <c r="B27" s="469" t="s">
        <v>763</v>
      </c>
      <c r="C27" s="486" t="s">
        <v>1083</v>
      </c>
      <c r="D27" s="459">
        <v>0.02</v>
      </c>
      <c r="E27" s="488">
        <f>D27*$E$20</f>
        <v>127.02132300000001</v>
      </c>
      <c r="F27" s="488">
        <f>D27*$F$20</f>
        <v>133.2229998</v>
      </c>
      <c r="G27" s="488">
        <f>D27*$G$20</f>
        <v>142.86466919999998</v>
      </c>
      <c r="H27" s="488">
        <f>D27*$H$20</f>
        <v>152.0864334</v>
      </c>
      <c r="I27" s="488">
        <f>D27*$I$20</f>
        <v>161.50200000000001</v>
      </c>
    </row>
    <row r="28" spans="1:12" ht="13.5" customHeight="1" x14ac:dyDescent="0.2">
      <c r="A28" s="470"/>
      <c r="B28" s="458"/>
      <c r="C28" s="471"/>
      <c r="D28" s="459"/>
      <c r="E28" s="488"/>
      <c r="F28" s="488"/>
      <c r="G28" s="488"/>
      <c r="H28" s="488"/>
      <c r="I28" s="488"/>
    </row>
    <row r="29" spans="1:12" s="522" customFormat="1" ht="13.5" customHeight="1" x14ac:dyDescent="0.2">
      <c r="A29" s="485">
        <v>1002</v>
      </c>
      <c r="B29" s="486" t="s">
        <v>1084</v>
      </c>
      <c r="C29" s="486" t="s">
        <v>656</v>
      </c>
      <c r="D29" s="459">
        <v>0.01</v>
      </c>
      <c r="E29" s="488">
        <f t="shared" ref="E29:E35" si="0">D29*$E$20</f>
        <v>63.510661500000005</v>
      </c>
      <c r="F29" s="488">
        <f t="shared" ref="F29:F35" si="1">D29*$F$20</f>
        <v>66.611499899999998</v>
      </c>
      <c r="G29" s="488">
        <f t="shared" ref="G29:G35" si="2">D29*$G$20</f>
        <v>71.43233459999999</v>
      </c>
      <c r="H29" s="488">
        <f t="shared" ref="H29:H35" si="3">D29*$H$20</f>
        <v>76.043216700000002</v>
      </c>
      <c r="I29" s="488">
        <f t="shared" ref="I29:I35" si="4">D29*$I$20</f>
        <v>80.751000000000005</v>
      </c>
    </row>
    <row r="30" spans="1:12" s="522" customFormat="1" ht="13.5" customHeight="1" x14ac:dyDescent="0.2">
      <c r="A30" s="485">
        <v>1004</v>
      </c>
      <c r="B30" s="486" t="s">
        <v>1085</v>
      </c>
      <c r="C30" s="486" t="s">
        <v>1086</v>
      </c>
      <c r="D30" s="459">
        <v>0.03</v>
      </c>
      <c r="E30" s="488">
        <f t="shared" si="0"/>
        <v>190.53198450000002</v>
      </c>
      <c r="F30" s="488">
        <f t="shared" si="1"/>
        <v>199.83449969999998</v>
      </c>
      <c r="G30" s="488">
        <f t="shared" si="2"/>
        <v>214.29700379999997</v>
      </c>
      <c r="H30" s="488">
        <f t="shared" si="3"/>
        <v>228.12965009999999</v>
      </c>
      <c r="I30" s="488">
        <f t="shared" si="4"/>
        <v>242.25300000000001</v>
      </c>
    </row>
    <row r="31" spans="1:12" s="522" customFormat="1" ht="13.5" customHeight="1" x14ac:dyDescent="0.2">
      <c r="A31" s="485">
        <v>1008</v>
      </c>
      <c r="B31" s="486" t="s">
        <v>1047</v>
      </c>
      <c r="C31" s="486" t="s">
        <v>1048</v>
      </c>
      <c r="D31" s="459">
        <v>0.06</v>
      </c>
      <c r="E31" s="488">
        <f t="shared" si="0"/>
        <v>381.06396900000004</v>
      </c>
      <c r="F31" s="488">
        <f t="shared" si="1"/>
        <v>399.66899939999996</v>
      </c>
      <c r="G31" s="488">
        <f t="shared" si="2"/>
        <v>428.59400759999994</v>
      </c>
      <c r="H31" s="488">
        <f t="shared" si="3"/>
        <v>456.25930019999998</v>
      </c>
      <c r="I31" s="488">
        <f t="shared" si="4"/>
        <v>484.50600000000003</v>
      </c>
    </row>
    <row r="32" spans="1:12" s="522" customFormat="1" ht="13.5" customHeight="1" x14ac:dyDescent="0.2">
      <c r="A32" s="485">
        <v>1010</v>
      </c>
      <c r="B32" s="486" t="s">
        <v>1049</v>
      </c>
      <c r="C32" s="486" t="s">
        <v>1050</v>
      </c>
      <c r="D32" s="459">
        <v>0.08</v>
      </c>
      <c r="E32" s="488">
        <f t="shared" si="0"/>
        <v>508.08529200000004</v>
      </c>
      <c r="F32" s="488">
        <f t="shared" si="1"/>
        <v>532.89199919999999</v>
      </c>
      <c r="G32" s="488">
        <f t="shared" si="2"/>
        <v>571.45867679999992</v>
      </c>
      <c r="H32" s="488">
        <f t="shared" si="3"/>
        <v>608.34573360000002</v>
      </c>
      <c r="I32" s="488">
        <f t="shared" si="4"/>
        <v>646.00800000000004</v>
      </c>
    </row>
    <row r="33" spans="1:12" s="522" customFormat="1" ht="13.5" customHeight="1" x14ac:dyDescent="0.2">
      <c r="A33" s="485">
        <v>1003</v>
      </c>
      <c r="B33" s="486" t="s">
        <v>1051</v>
      </c>
      <c r="C33" s="486" t="s">
        <v>1052</v>
      </c>
      <c r="D33" s="459">
        <v>0.105</v>
      </c>
      <c r="E33" s="488">
        <f t="shared" si="0"/>
        <v>666.86194575000002</v>
      </c>
      <c r="F33" s="488">
        <f t="shared" si="1"/>
        <v>699.42074894999996</v>
      </c>
      <c r="G33" s="488">
        <f t="shared" si="2"/>
        <v>750.03951329999995</v>
      </c>
      <c r="H33" s="488">
        <f t="shared" si="3"/>
        <v>798.45377535</v>
      </c>
      <c r="I33" s="488">
        <f t="shared" si="4"/>
        <v>847.88549999999998</v>
      </c>
    </row>
    <row r="34" spans="1:12" s="522" customFormat="1" ht="13.5" customHeight="1" x14ac:dyDescent="0.2">
      <c r="A34" s="485">
        <v>1005</v>
      </c>
      <c r="B34" s="486" t="s">
        <v>1053</v>
      </c>
      <c r="C34" s="486" t="s">
        <v>1054</v>
      </c>
      <c r="D34" s="459">
        <v>0.13500000000000001</v>
      </c>
      <c r="E34" s="488">
        <f t="shared" si="0"/>
        <v>857.39393025000015</v>
      </c>
      <c r="F34" s="488">
        <f t="shared" si="1"/>
        <v>899.25524865</v>
      </c>
      <c r="G34" s="488">
        <f t="shared" si="2"/>
        <v>964.33651710000004</v>
      </c>
      <c r="H34" s="488">
        <f t="shared" si="3"/>
        <v>1026.58342545</v>
      </c>
      <c r="I34" s="488">
        <f t="shared" si="4"/>
        <v>1090.1385</v>
      </c>
    </row>
    <row r="35" spans="1:12" ht="13.5" thickBot="1" x14ac:dyDescent="0.25">
      <c r="A35" s="523">
        <v>1006</v>
      </c>
      <c r="B35" s="524" t="s">
        <v>1055</v>
      </c>
      <c r="C35" s="524" t="s">
        <v>1056</v>
      </c>
      <c r="D35" s="460">
        <v>0.14499999999999999</v>
      </c>
      <c r="E35" s="508">
        <f t="shared" si="0"/>
        <v>920.90459175000001</v>
      </c>
      <c r="F35" s="508">
        <f t="shared" si="1"/>
        <v>965.8667485499999</v>
      </c>
      <c r="G35" s="508">
        <f t="shared" si="2"/>
        <v>1035.7688516999999</v>
      </c>
      <c r="H35" s="508">
        <f t="shared" si="3"/>
        <v>1102.62664215</v>
      </c>
      <c r="I35" s="508">
        <f t="shared" si="4"/>
        <v>1170.8895</v>
      </c>
    </row>
    <row r="36" spans="1:12" ht="25.5" customHeight="1" thickBot="1" x14ac:dyDescent="0.25">
      <c r="A36" s="525"/>
      <c r="B36" s="526"/>
      <c r="C36" s="527"/>
      <c r="D36" s="528"/>
      <c r="E36" s="529"/>
      <c r="F36" s="529"/>
      <c r="G36" s="529"/>
      <c r="H36" s="529"/>
      <c r="I36" s="529"/>
    </row>
    <row r="37" spans="1:12" ht="16.5" thickBot="1" x14ac:dyDescent="0.25">
      <c r="A37" s="688" t="s">
        <v>464</v>
      </c>
      <c r="B37" s="688" t="s">
        <v>465</v>
      </c>
      <c r="C37" s="688" t="s">
        <v>466</v>
      </c>
      <c r="D37" s="696" t="s">
        <v>468</v>
      </c>
      <c r="E37" s="700" t="s">
        <v>532</v>
      </c>
      <c r="F37" s="701"/>
      <c r="G37" s="701"/>
      <c r="H37" s="701"/>
      <c r="I37" s="702"/>
      <c r="J37" s="36"/>
      <c r="K37" s="36"/>
      <c r="L37" s="36"/>
    </row>
    <row r="38" spans="1:12" ht="13.5" customHeight="1" x14ac:dyDescent="0.2">
      <c r="A38" s="689"/>
      <c r="B38" s="691"/>
      <c r="C38" s="691"/>
      <c r="D38" s="689"/>
      <c r="E38" s="74" t="s">
        <v>469</v>
      </c>
      <c r="F38" s="74" t="s">
        <v>470</v>
      </c>
      <c r="G38" s="74" t="s">
        <v>471</v>
      </c>
      <c r="H38" s="74" t="s">
        <v>472</v>
      </c>
      <c r="I38" s="74" t="s">
        <v>473</v>
      </c>
    </row>
    <row r="39" spans="1:12" ht="13.5" customHeight="1" thickBot="1" x14ac:dyDescent="0.25">
      <c r="A39" s="690"/>
      <c r="B39" s="692"/>
      <c r="C39" s="692"/>
      <c r="D39" s="690"/>
      <c r="E39" s="516">
        <f>'F - Firefighters (rep)'!D14</f>
        <v>0</v>
      </c>
      <c r="F39" s="516">
        <f>'F - Firefighters (rep)'!E14</f>
        <v>0</v>
      </c>
      <c r="G39" s="516">
        <f>'F - Firefighters (rep)'!F14</f>
        <v>7500.3951330000009</v>
      </c>
      <c r="H39" s="516">
        <f>'F - Firefighters (rep)'!G14</f>
        <v>7984.5377535000016</v>
      </c>
      <c r="I39" s="516">
        <f>'F - Firefighters (rep)'!H14</f>
        <v>8478.8550000000014</v>
      </c>
    </row>
    <row r="40" spans="1:12" s="522" customFormat="1" ht="13.5" customHeight="1" x14ac:dyDescent="0.2">
      <c r="A40" s="517">
        <v>1032</v>
      </c>
      <c r="B40" s="518" t="s">
        <v>551</v>
      </c>
      <c r="C40" s="530" t="s">
        <v>657</v>
      </c>
      <c r="D40" s="531">
        <v>2.5000000000000001E-2</v>
      </c>
      <c r="E40" s="521">
        <f>$E$39*D40</f>
        <v>0</v>
      </c>
      <c r="F40" s="521">
        <f>$F$39*D40</f>
        <v>0</v>
      </c>
      <c r="G40" s="521">
        <f>$G$39*D40</f>
        <v>187.50987832500005</v>
      </c>
      <c r="H40" s="521">
        <f>$H$39*D40</f>
        <v>199.61344383750006</v>
      </c>
      <c r="I40" s="521">
        <f>$I$39*D40</f>
        <v>211.97137500000005</v>
      </c>
    </row>
    <row r="41" spans="1:12" s="522" customFormat="1" ht="13.5" customHeight="1" x14ac:dyDescent="0.2">
      <c r="A41" s="485">
        <v>1034</v>
      </c>
      <c r="B41" s="458" t="s">
        <v>551</v>
      </c>
      <c r="C41" s="486" t="s">
        <v>654</v>
      </c>
      <c r="D41" s="459">
        <v>3.5000000000000003E-2</v>
      </c>
      <c r="E41" s="488">
        <f t="shared" ref="E41:E53" si="5">$E$39*D41</f>
        <v>0</v>
      </c>
      <c r="F41" s="488">
        <f t="shared" ref="F41:F51" si="6">$F$39*D41</f>
        <v>0</v>
      </c>
      <c r="G41" s="488">
        <f>$G$39*D41</f>
        <v>262.51382965500005</v>
      </c>
      <c r="H41" s="488">
        <f>$H$39*D41</f>
        <v>279.4588213725001</v>
      </c>
      <c r="I41" s="488">
        <f>$I$39*D41</f>
        <v>296.75992500000007</v>
      </c>
    </row>
    <row r="42" spans="1:12" s="522" customFormat="1" ht="13.5" customHeight="1" x14ac:dyDescent="0.2">
      <c r="A42" s="485">
        <v>1036</v>
      </c>
      <c r="B42" s="458" t="s">
        <v>551</v>
      </c>
      <c r="C42" s="486" t="s">
        <v>655</v>
      </c>
      <c r="D42" s="459">
        <v>0.04</v>
      </c>
      <c r="E42" s="488">
        <f t="shared" si="5"/>
        <v>0</v>
      </c>
      <c r="F42" s="488">
        <f t="shared" si="6"/>
        <v>0</v>
      </c>
      <c r="G42" s="488">
        <f>$G$39*D42</f>
        <v>300.01580532000003</v>
      </c>
      <c r="H42" s="488">
        <f>$H$39*D42</f>
        <v>319.38151014000005</v>
      </c>
      <c r="I42" s="488">
        <f>$I$39*D42</f>
        <v>339.15420000000006</v>
      </c>
    </row>
    <row r="43" spans="1:12" s="522" customFormat="1" ht="13.5" customHeight="1" x14ac:dyDescent="0.2">
      <c r="A43" s="485">
        <v>1033</v>
      </c>
      <c r="B43" s="458" t="s">
        <v>551</v>
      </c>
      <c r="C43" s="486" t="s">
        <v>1087</v>
      </c>
      <c r="D43" s="459">
        <v>2.5000000000000001E-2</v>
      </c>
      <c r="E43" s="488">
        <f t="shared" si="5"/>
        <v>0</v>
      </c>
      <c r="F43" s="488">
        <f t="shared" si="6"/>
        <v>0</v>
      </c>
      <c r="G43" s="488">
        <f>$G$39*D43</f>
        <v>187.50987832500005</v>
      </c>
      <c r="H43" s="488">
        <f>$H$39*D43</f>
        <v>199.61344383750006</v>
      </c>
      <c r="I43" s="488">
        <f>$I$39*D43</f>
        <v>211.97137500000005</v>
      </c>
    </row>
    <row r="44" spans="1:12" ht="13.5" customHeight="1" x14ac:dyDescent="0.2">
      <c r="A44" s="457"/>
      <c r="B44" s="532"/>
      <c r="C44" s="533"/>
      <c r="D44" s="534"/>
      <c r="E44" s="488"/>
      <c r="F44" s="488"/>
      <c r="G44" s="488"/>
      <c r="H44" s="488"/>
      <c r="I44" s="488"/>
    </row>
    <row r="45" spans="1:12" ht="13.5" customHeight="1" x14ac:dyDescent="0.2">
      <c r="A45" s="485">
        <v>1067</v>
      </c>
      <c r="B45" s="469" t="s">
        <v>562</v>
      </c>
      <c r="C45" s="486" t="s">
        <v>1082</v>
      </c>
      <c r="D45" s="534">
        <v>2.5000000000000001E-2</v>
      </c>
      <c r="E45" s="488">
        <f t="shared" ref="E45" si="7">$E$39*D45</f>
        <v>0</v>
      </c>
      <c r="F45" s="488">
        <f t="shared" ref="F45" si="8">$F$39*D45</f>
        <v>0</v>
      </c>
      <c r="G45" s="488">
        <f>$G$39*D45</f>
        <v>187.50987832500005</v>
      </c>
      <c r="H45" s="488">
        <f>$H$39*D45</f>
        <v>199.61344383750006</v>
      </c>
      <c r="I45" s="488">
        <f>$I$39*D45</f>
        <v>211.97137500000005</v>
      </c>
    </row>
    <row r="46" spans="1:12" ht="13.5" customHeight="1" x14ac:dyDescent="0.2">
      <c r="A46" s="485" t="s">
        <v>763</v>
      </c>
      <c r="B46" s="469" t="s">
        <v>763</v>
      </c>
      <c r="C46" s="486" t="s">
        <v>1083</v>
      </c>
      <c r="D46" s="459">
        <v>0.02</v>
      </c>
      <c r="E46" s="488"/>
      <c r="F46" s="488"/>
      <c r="G46" s="488">
        <f>$G$39*D46</f>
        <v>150.00790266000001</v>
      </c>
      <c r="H46" s="488">
        <f>$H$39*D46</f>
        <v>159.69075507000002</v>
      </c>
      <c r="I46" s="488">
        <f>$I$39*D46</f>
        <v>169.57710000000003</v>
      </c>
    </row>
    <row r="47" spans="1:12" ht="13.5" customHeight="1" x14ac:dyDescent="0.2">
      <c r="A47" s="457"/>
      <c r="B47" s="532"/>
      <c r="C47" s="533"/>
      <c r="D47" s="534"/>
      <c r="E47" s="488"/>
      <c r="F47" s="488"/>
      <c r="G47" s="488"/>
      <c r="H47" s="488"/>
      <c r="I47" s="488"/>
    </row>
    <row r="48" spans="1:12" s="522" customFormat="1" ht="13.5" customHeight="1" x14ac:dyDescent="0.2">
      <c r="A48" s="485">
        <v>1002</v>
      </c>
      <c r="B48" s="486" t="s">
        <v>1084</v>
      </c>
      <c r="C48" s="486" t="s">
        <v>656</v>
      </c>
      <c r="D48" s="459">
        <v>0.01</v>
      </c>
      <c r="E48" s="488">
        <f t="shared" si="5"/>
        <v>0</v>
      </c>
      <c r="F48" s="488">
        <f t="shared" si="6"/>
        <v>0</v>
      </c>
      <c r="G48" s="488">
        <f t="shared" ref="G48:G53" si="9">$G$39*D48</f>
        <v>75.003951330000007</v>
      </c>
      <c r="H48" s="488">
        <f t="shared" ref="H48:H53" si="10">$H$39*D48</f>
        <v>79.845377535000011</v>
      </c>
      <c r="I48" s="488">
        <f t="shared" ref="I48:I53" si="11">$I$39*D48</f>
        <v>84.788550000000015</v>
      </c>
    </row>
    <row r="49" spans="1:12" s="522" customFormat="1" ht="13.5" customHeight="1" x14ac:dyDescent="0.2">
      <c r="A49" s="485">
        <v>1004</v>
      </c>
      <c r="B49" s="486" t="s">
        <v>1085</v>
      </c>
      <c r="C49" s="486" t="s">
        <v>1086</v>
      </c>
      <c r="D49" s="459">
        <v>0.03</v>
      </c>
      <c r="E49" s="488">
        <f t="shared" si="5"/>
        <v>0</v>
      </c>
      <c r="F49" s="488">
        <f t="shared" si="6"/>
        <v>0</v>
      </c>
      <c r="G49" s="488">
        <f t="shared" si="9"/>
        <v>225.01185399000002</v>
      </c>
      <c r="H49" s="488">
        <f t="shared" si="10"/>
        <v>239.53613260500003</v>
      </c>
      <c r="I49" s="488">
        <f t="shared" si="11"/>
        <v>254.36565000000004</v>
      </c>
    </row>
    <row r="50" spans="1:12" s="522" customFormat="1" ht="13.5" customHeight="1" x14ac:dyDescent="0.2">
      <c r="A50" s="485">
        <v>1008</v>
      </c>
      <c r="B50" s="486" t="s">
        <v>1047</v>
      </c>
      <c r="C50" s="486" t="s">
        <v>1048</v>
      </c>
      <c r="D50" s="459">
        <v>0.06</v>
      </c>
      <c r="E50" s="488">
        <f t="shared" si="5"/>
        <v>0</v>
      </c>
      <c r="F50" s="488">
        <f t="shared" si="6"/>
        <v>0</v>
      </c>
      <c r="G50" s="488">
        <f t="shared" si="9"/>
        <v>450.02370798000004</v>
      </c>
      <c r="H50" s="488">
        <f t="shared" si="10"/>
        <v>479.07226521000007</v>
      </c>
      <c r="I50" s="488">
        <f t="shared" si="11"/>
        <v>508.73130000000009</v>
      </c>
    </row>
    <row r="51" spans="1:12" s="522" customFormat="1" ht="13.5" customHeight="1" x14ac:dyDescent="0.2">
      <c r="A51" s="485">
        <v>1010</v>
      </c>
      <c r="B51" s="486" t="s">
        <v>1049</v>
      </c>
      <c r="C51" s="486" t="s">
        <v>1050</v>
      </c>
      <c r="D51" s="459">
        <v>0.08</v>
      </c>
      <c r="E51" s="488">
        <f t="shared" si="5"/>
        <v>0</v>
      </c>
      <c r="F51" s="488">
        <f t="shared" si="6"/>
        <v>0</v>
      </c>
      <c r="G51" s="488">
        <f t="shared" si="9"/>
        <v>600.03161064000005</v>
      </c>
      <c r="H51" s="488">
        <f t="shared" si="10"/>
        <v>638.76302028000009</v>
      </c>
      <c r="I51" s="488">
        <f t="shared" si="11"/>
        <v>678.30840000000012</v>
      </c>
    </row>
    <row r="52" spans="1:12" s="522" customFormat="1" ht="13.5" customHeight="1" x14ac:dyDescent="0.2">
      <c r="A52" s="485">
        <v>1003</v>
      </c>
      <c r="B52" s="486" t="s">
        <v>1051</v>
      </c>
      <c r="C52" s="486" t="s">
        <v>1052</v>
      </c>
      <c r="D52" s="459">
        <v>0.105</v>
      </c>
      <c r="E52" s="488">
        <f t="shared" si="5"/>
        <v>0</v>
      </c>
      <c r="F52" s="488">
        <f>$F$39*D52</f>
        <v>0</v>
      </c>
      <c r="G52" s="488">
        <f t="shared" si="9"/>
        <v>787.5414889650001</v>
      </c>
      <c r="H52" s="488">
        <f t="shared" si="10"/>
        <v>838.37646411750018</v>
      </c>
      <c r="I52" s="488">
        <f t="shared" si="11"/>
        <v>890.27977500000009</v>
      </c>
      <c r="J52" s="535"/>
    </row>
    <row r="53" spans="1:12" s="522" customFormat="1" ht="13.5" customHeight="1" x14ac:dyDescent="0.2">
      <c r="A53" s="485">
        <v>1005</v>
      </c>
      <c r="B53" s="486" t="s">
        <v>1053</v>
      </c>
      <c r="C53" s="486" t="s">
        <v>1054</v>
      </c>
      <c r="D53" s="459">
        <v>0.13500000000000001</v>
      </c>
      <c r="E53" s="488">
        <f t="shared" si="5"/>
        <v>0</v>
      </c>
      <c r="F53" s="488">
        <f>$F$39*D53</f>
        <v>0</v>
      </c>
      <c r="G53" s="488">
        <f t="shared" si="9"/>
        <v>1012.5533429550002</v>
      </c>
      <c r="H53" s="488">
        <f t="shared" si="10"/>
        <v>1077.9125967225002</v>
      </c>
      <c r="I53" s="488">
        <f t="shared" si="11"/>
        <v>1144.6454250000002</v>
      </c>
      <c r="J53" s="535"/>
    </row>
    <row r="54" spans="1:12" s="522" customFormat="1" ht="13.5" customHeight="1" thickBot="1" x14ac:dyDescent="0.25">
      <c r="A54" s="523">
        <v>1006</v>
      </c>
      <c r="B54" s="524" t="s">
        <v>1055</v>
      </c>
      <c r="C54" s="524" t="s">
        <v>1056</v>
      </c>
      <c r="D54" s="460">
        <v>0.14499999999999999</v>
      </c>
      <c r="E54" s="488">
        <f t="shared" ref="E54" si="12">$E$39*D54</f>
        <v>0</v>
      </c>
      <c r="F54" s="488">
        <f>$F$39*D54</f>
        <v>0</v>
      </c>
      <c r="G54" s="488">
        <f t="shared" ref="G54" si="13">$G$39*D54</f>
        <v>1087.5572942850001</v>
      </c>
      <c r="H54" s="488">
        <f t="shared" ref="H54" si="14">$H$39*D54</f>
        <v>1157.7579742575001</v>
      </c>
      <c r="I54" s="488">
        <f t="shared" ref="I54" si="15">$I$39*D54</f>
        <v>1229.4339750000001</v>
      </c>
    </row>
    <row r="55" spans="1:12" ht="25.5" customHeight="1" thickBot="1" x14ac:dyDescent="0.25">
      <c r="A55" s="525"/>
      <c r="B55" s="526"/>
      <c r="C55" s="527"/>
      <c r="D55" s="528"/>
      <c r="E55" s="513"/>
      <c r="F55" s="513"/>
      <c r="G55" s="513"/>
      <c r="H55" s="513"/>
      <c r="I55" s="513"/>
    </row>
    <row r="56" spans="1:12" ht="16.5" thickBot="1" x14ac:dyDescent="0.25">
      <c r="A56" s="688" t="s">
        <v>464</v>
      </c>
      <c r="B56" s="688" t="s">
        <v>465</v>
      </c>
      <c r="C56" s="688" t="s">
        <v>466</v>
      </c>
      <c r="D56" s="696" t="s">
        <v>468</v>
      </c>
      <c r="E56" s="700" t="s">
        <v>533</v>
      </c>
      <c r="F56" s="701"/>
      <c r="G56" s="701"/>
      <c r="H56" s="701"/>
      <c r="I56" s="702"/>
      <c r="J56" s="36"/>
      <c r="K56" s="36"/>
      <c r="L56" s="36"/>
    </row>
    <row r="57" spans="1:12" ht="13.5" customHeight="1" x14ac:dyDescent="0.2">
      <c r="A57" s="689"/>
      <c r="B57" s="691"/>
      <c r="C57" s="691"/>
      <c r="D57" s="689"/>
      <c r="E57" s="74" t="s">
        <v>469</v>
      </c>
      <c r="F57" s="74" t="s">
        <v>470</v>
      </c>
      <c r="G57" s="74" t="s">
        <v>471</v>
      </c>
      <c r="H57" s="74" t="s">
        <v>472</v>
      </c>
      <c r="I57" s="74" t="s">
        <v>473</v>
      </c>
    </row>
    <row r="58" spans="1:12" ht="13.5" customHeight="1" thickBot="1" x14ac:dyDescent="0.25">
      <c r="A58" s="690"/>
      <c r="B58" s="692"/>
      <c r="C58" s="692"/>
      <c r="D58" s="690"/>
      <c r="E58" s="536">
        <f>'F - Firefighters (rep)'!D19</f>
        <v>0</v>
      </c>
      <c r="F58" s="536">
        <f>'F - Firefighters (rep)'!E19</f>
        <v>0</v>
      </c>
      <c r="G58" s="536">
        <f>'F - Firefighters (rep)'!F19</f>
        <v>8214.7184789999992</v>
      </c>
      <c r="H58" s="536">
        <f>'F - Firefighters (rep)'!G19</f>
        <v>8744.9699204999997</v>
      </c>
      <c r="I58" s="536">
        <f>'F - Firefighters (rep)'!H19</f>
        <v>9286.3649999999998</v>
      </c>
    </row>
    <row r="59" spans="1:12" s="522" customFormat="1" ht="13.5" customHeight="1" x14ac:dyDescent="0.2">
      <c r="A59" s="517">
        <v>1032</v>
      </c>
      <c r="B59" s="518" t="s">
        <v>551</v>
      </c>
      <c r="C59" s="530" t="s">
        <v>657</v>
      </c>
      <c r="D59" s="531">
        <v>2.5000000000000001E-2</v>
      </c>
      <c r="E59" s="521">
        <f>$E$58*D59</f>
        <v>0</v>
      </c>
      <c r="F59" s="521">
        <f>$F$58*D59</f>
        <v>0</v>
      </c>
      <c r="G59" s="521">
        <f>$G$58*D59</f>
        <v>205.36796197499999</v>
      </c>
      <c r="H59" s="521">
        <f>$H$58*D59</f>
        <v>218.6242480125</v>
      </c>
      <c r="I59" s="521">
        <f>$I$58*D59</f>
        <v>232.15912500000002</v>
      </c>
    </row>
    <row r="60" spans="1:12" s="522" customFormat="1" ht="13.5" customHeight="1" x14ac:dyDescent="0.2">
      <c r="A60" s="485">
        <v>1034</v>
      </c>
      <c r="B60" s="458" t="s">
        <v>551</v>
      </c>
      <c r="C60" s="486" t="s">
        <v>654</v>
      </c>
      <c r="D60" s="459">
        <v>3.5000000000000003E-2</v>
      </c>
      <c r="E60" s="488">
        <f t="shared" ref="E60:E69" si="16">$E$58*D60</f>
        <v>0</v>
      </c>
      <c r="F60" s="488">
        <f t="shared" ref="F60:F67" si="17">$F$58*D60</f>
        <v>0</v>
      </c>
      <c r="G60" s="488">
        <f t="shared" ref="G60:G67" si="18">$G$58*D60</f>
        <v>287.515146765</v>
      </c>
      <c r="H60" s="488">
        <f t="shared" ref="H60:H67" si="19">$H$58*D60</f>
        <v>306.07394721750001</v>
      </c>
      <c r="I60" s="488">
        <f t="shared" ref="I60:I67" si="20">$I$58*D60</f>
        <v>325.02277500000002</v>
      </c>
    </row>
    <row r="61" spans="1:12" s="522" customFormat="1" ht="13.5" customHeight="1" x14ac:dyDescent="0.2">
      <c r="A61" s="485">
        <v>1036</v>
      </c>
      <c r="B61" s="458" t="s">
        <v>551</v>
      </c>
      <c r="C61" s="486" t="s">
        <v>655</v>
      </c>
      <c r="D61" s="459">
        <v>0.04</v>
      </c>
      <c r="E61" s="488">
        <f t="shared" si="16"/>
        <v>0</v>
      </c>
      <c r="F61" s="488">
        <f t="shared" si="17"/>
        <v>0</v>
      </c>
      <c r="G61" s="488">
        <f t="shared" si="18"/>
        <v>328.58873915999999</v>
      </c>
      <c r="H61" s="488">
        <f t="shared" si="19"/>
        <v>349.79879682000001</v>
      </c>
      <c r="I61" s="488">
        <f t="shared" si="20"/>
        <v>371.45459999999997</v>
      </c>
    </row>
    <row r="62" spans="1:12" s="522" customFormat="1" ht="13.5" customHeight="1" x14ac:dyDescent="0.2">
      <c r="A62" s="485">
        <v>1033</v>
      </c>
      <c r="B62" s="458" t="s">
        <v>551</v>
      </c>
      <c r="C62" s="486" t="s">
        <v>1087</v>
      </c>
      <c r="D62" s="459">
        <v>2.5000000000000001E-2</v>
      </c>
      <c r="E62" s="488">
        <f t="shared" si="16"/>
        <v>0</v>
      </c>
      <c r="F62" s="488">
        <f t="shared" si="17"/>
        <v>0</v>
      </c>
      <c r="G62" s="488">
        <f t="shared" si="18"/>
        <v>205.36796197499999</v>
      </c>
      <c r="H62" s="488">
        <f t="shared" si="19"/>
        <v>218.6242480125</v>
      </c>
      <c r="I62" s="488">
        <f t="shared" si="20"/>
        <v>232.15912500000002</v>
      </c>
    </row>
    <row r="63" spans="1:12" ht="13.5" customHeight="1" x14ac:dyDescent="0.2">
      <c r="A63" s="457"/>
      <c r="B63" s="532"/>
      <c r="C63" s="533"/>
      <c r="D63" s="534"/>
      <c r="E63" s="488"/>
      <c r="F63" s="488"/>
      <c r="G63" s="488"/>
      <c r="H63" s="488"/>
      <c r="I63" s="488"/>
    </row>
    <row r="64" spans="1:12" s="522" customFormat="1" ht="13.5" customHeight="1" x14ac:dyDescent="0.2">
      <c r="A64" s="485">
        <v>1002</v>
      </c>
      <c r="B64" s="486" t="s">
        <v>1084</v>
      </c>
      <c r="C64" s="486" t="s">
        <v>656</v>
      </c>
      <c r="D64" s="459">
        <v>0.01</v>
      </c>
      <c r="E64" s="488">
        <f t="shared" si="16"/>
        <v>0</v>
      </c>
      <c r="F64" s="488">
        <f t="shared" si="17"/>
        <v>0</v>
      </c>
      <c r="G64" s="488">
        <f t="shared" si="18"/>
        <v>82.147184789999997</v>
      </c>
      <c r="H64" s="488">
        <f t="shared" si="19"/>
        <v>87.449699205000002</v>
      </c>
      <c r="I64" s="488">
        <f t="shared" si="20"/>
        <v>92.863649999999993</v>
      </c>
    </row>
    <row r="65" spans="1:12" s="522" customFormat="1" ht="13.5" customHeight="1" x14ac:dyDescent="0.2">
      <c r="A65" s="485">
        <v>1004</v>
      </c>
      <c r="B65" s="486" t="s">
        <v>1085</v>
      </c>
      <c r="C65" s="486" t="s">
        <v>1086</v>
      </c>
      <c r="D65" s="459">
        <v>0.03</v>
      </c>
      <c r="E65" s="488">
        <f t="shared" si="16"/>
        <v>0</v>
      </c>
      <c r="F65" s="488">
        <f t="shared" si="17"/>
        <v>0</v>
      </c>
      <c r="G65" s="488">
        <f t="shared" si="18"/>
        <v>246.44155436999998</v>
      </c>
      <c r="H65" s="488">
        <f t="shared" si="19"/>
        <v>262.34909761500001</v>
      </c>
      <c r="I65" s="488">
        <f t="shared" si="20"/>
        <v>278.59094999999996</v>
      </c>
    </row>
    <row r="66" spans="1:12" s="522" customFormat="1" ht="13.5" customHeight="1" x14ac:dyDescent="0.2">
      <c r="A66" s="485">
        <v>1008</v>
      </c>
      <c r="B66" s="486" t="s">
        <v>1047</v>
      </c>
      <c r="C66" s="486" t="s">
        <v>1048</v>
      </c>
      <c r="D66" s="459">
        <v>0.06</v>
      </c>
      <c r="E66" s="488">
        <f t="shared" si="16"/>
        <v>0</v>
      </c>
      <c r="F66" s="488">
        <f t="shared" si="17"/>
        <v>0</v>
      </c>
      <c r="G66" s="488">
        <f t="shared" si="18"/>
        <v>492.88310873999995</v>
      </c>
      <c r="H66" s="488">
        <f t="shared" si="19"/>
        <v>524.69819523000001</v>
      </c>
      <c r="I66" s="488">
        <f t="shared" si="20"/>
        <v>557.18189999999993</v>
      </c>
    </row>
    <row r="67" spans="1:12" s="522" customFormat="1" ht="13.5" customHeight="1" x14ac:dyDescent="0.2">
      <c r="A67" s="485">
        <v>1010</v>
      </c>
      <c r="B67" s="486" t="s">
        <v>1049</v>
      </c>
      <c r="C67" s="486" t="s">
        <v>1050</v>
      </c>
      <c r="D67" s="459">
        <v>0.08</v>
      </c>
      <c r="E67" s="488">
        <f t="shared" si="16"/>
        <v>0</v>
      </c>
      <c r="F67" s="488">
        <f t="shared" si="17"/>
        <v>0</v>
      </c>
      <c r="G67" s="488">
        <f t="shared" si="18"/>
        <v>657.17747831999998</v>
      </c>
      <c r="H67" s="488">
        <f t="shared" si="19"/>
        <v>699.59759364000001</v>
      </c>
      <c r="I67" s="488">
        <f t="shared" si="20"/>
        <v>742.90919999999994</v>
      </c>
    </row>
    <row r="68" spans="1:12" s="522" customFormat="1" ht="13.5" customHeight="1" x14ac:dyDescent="0.2">
      <c r="A68" s="485">
        <v>1003</v>
      </c>
      <c r="B68" s="486" t="s">
        <v>1051</v>
      </c>
      <c r="C68" s="486" t="s">
        <v>1052</v>
      </c>
      <c r="D68" s="459">
        <v>0.105</v>
      </c>
      <c r="E68" s="488">
        <f t="shared" si="16"/>
        <v>0</v>
      </c>
      <c r="F68" s="488">
        <f>$F$58*D68</f>
        <v>0</v>
      </c>
      <c r="G68" s="488">
        <f>$G$58*D68</f>
        <v>862.54544029499993</v>
      </c>
      <c r="H68" s="488">
        <f>$H$58*D68</f>
        <v>918.22184165249996</v>
      </c>
      <c r="I68" s="488">
        <f>$I$58*D68</f>
        <v>975.06832499999996</v>
      </c>
    </row>
    <row r="69" spans="1:12" ht="12.75" x14ac:dyDescent="0.2">
      <c r="A69" s="485">
        <v>1005</v>
      </c>
      <c r="B69" s="486" t="s">
        <v>1053</v>
      </c>
      <c r="C69" s="486" t="s">
        <v>1054</v>
      </c>
      <c r="D69" s="459">
        <v>0.13500000000000001</v>
      </c>
      <c r="E69" s="488">
        <f t="shared" si="16"/>
        <v>0</v>
      </c>
      <c r="F69" s="488">
        <f>$F$58*D69</f>
        <v>0</v>
      </c>
      <c r="G69" s="488">
        <f>$G$58*D69</f>
        <v>1108.9869946649999</v>
      </c>
      <c r="H69" s="488">
        <f>$H$58*D69</f>
        <v>1180.5709392675001</v>
      </c>
      <c r="I69" s="488">
        <f>$I$58*D69</f>
        <v>1253.659275</v>
      </c>
    </row>
    <row r="70" spans="1:12" s="522" customFormat="1" ht="13.5" customHeight="1" thickBot="1" x14ac:dyDescent="0.25">
      <c r="A70" s="523">
        <v>1006</v>
      </c>
      <c r="B70" s="524" t="s">
        <v>1055</v>
      </c>
      <c r="C70" s="524" t="s">
        <v>1056</v>
      </c>
      <c r="D70" s="460">
        <v>0.14499999999999999</v>
      </c>
      <c r="E70" s="508"/>
      <c r="F70" s="508"/>
      <c r="G70" s="508">
        <f>$G$58*D70</f>
        <v>1191.1341794549999</v>
      </c>
      <c r="H70" s="508">
        <f>$H$58*D70</f>
        <v>1268.0206384725</v>
      </c>
      <c r="I70" s="508">
        <f>$I$58*D70</f>
        <v>1346.522925</v>
      </c>
    </row>
    <row r="71" spans="1:12" ht="30" customHeight="1" thickBot="1" x14ac:dyDescent="0.25">
      <c r="A71" s="525"/>
      <c r="B71" s="526"/>
      <c r="C71" s="527"/>
      <c r="D71" s="528"/>
      <c r="E71" s="513"/>
      <c r="F71" s="513"/>
      <c r="G71" s="513"/>
      <c r="H71" s="513"/>
      <c r="I71" s="513"/>
    </row>
    <row r="72" spans="1:12" ht="16.5" thickBot="1" x14ac:dyDescent="0.25">
      <c r="A72" s="688" t="s">
        <v>464</v>
      </c>
      <c r="B72" s="688" t="s">
        <v>465</v>
      </c>
      <c r="C72" s="688" t="s">
        <v>466</v>
      </c>
      <c r="D72" s="696" t="s">
        <v>468</v>
      </c>
      <c r="E72" s="700" t="s">
        <v>474</v>
      </c>
      <c r="F72" s="701"/>
      <c r="G72" s="701"/>
      <c r="H72" s="701"/>
      <c r="I72" s="702"/>
      <c r="J72" s="36"/>
      <c r="K72" s="36"/>
      <c r="L72" s="36"/>
    </row>
    <row r="73" spans="1:12" ht="13.5" customHeight="1" x14ac:dyDescent="0.2">
      <c r="A73" s="689"/>
      <c r="B73" s="691"/>
      <c r="C73" s="691"/>
      <c r="D73" s="689"/>
      <c r="E73" s="74" t="s">
        <v>469</v>
      </c>
      <c r="F73" s="74" t="s">
        <v>470</v>
      </c>
      <c r="G73" s="74" t="s">
        <v>471</v>
      </c>
      <c r="H73" s="74" t="s">
        <v>472</v>
      </c>
      <c r="I73" s="74" t="s">
        <v>473</v>
      </c>
    </row>
    <row r="74" spans="1:12" ht="13.5" customHeight="1" thickBot="1" x14ac:dyDescent="0.25">
      <c r="A74" s="690"/>
      <c r="B74" s="692"/>
      <c r="C74" s="692"/>
      <c r="D74" s="690"/>
      <c r="E74" s="537"/>
      <c r="F74" s="538"/>
      <c r="G74" s="538"/>
      <c r="H74" s="516">
        <f>'F - Firefighters (rep)'!G24</f>
        <v>8840.0239413750005</v>
      </c>
      <c r="I74" s="516">
        <f>'F - Firefighters (rep)'!H24</f>
        <v>9387.3037500000009</v>
      </c>
    </row>
    <row r="75" spans="1:12" s="522" customFormat="1" ht="13.5" customHeight="1" x14ac:dyDescent="0.2">
      <c r="A75" s="517">
        <v>1032</v>
      </c>
      <c r="B75" s="518" t="s">
        <v>551</v>
      </c>
      <c r="C75" s="530" t="s">
        <v>657</v>
      </c>
      <c r="D75" s="531">
        <v>2.5000000000000001E-2</v>
      </c>
      <c r="E75" s="521"/>
      <c r="F75" s="521"/>
      <c r="G75" s="521"/>
      <c r="H75" s="521">
        <f>$H$74*D75</f>
        <v>221.00059853437503</v>
      </c>
      <c r="I75" s="521">
        <f>$I$74*D75</f>
        <v>234.68259375000002</v>
      </c>
    </row>
    <row r="76" spans="1:12" s="522" customFormat="1" ht="13.5" customHeight="1" x14ac:dyDescent="0.2">
      <c r="A76" s="485">
        <v>1036</v>
      </c>
      <c r="B76" s="458" t="s">
        <v>551</v>
      </c>
      <c r="C76" s="486" t="s">
        <v>658</v>
      </c>
      <c r="D76" s="459">
        <v>0.04</v>
      </c>
      <c r="E76" s="488"/>
      <c r="F76" s="488"/>
      <c r="G76" s="488"/>
      <c r="H76" s="488">
        <f>$H$74*D76</f>
        <v>353.600957655</v>
      </c>
      <c r="I76" s="488">
        <f>$I$74*D76</f>
        <v>375.49215000000004</v>
      </c>
    </row>
    <row r="77" spans="1:12" s="522" customFormat="1" ht="13.5" customHeight="1" x14ac:dyDescent="0.2">
      <c r="A77" s="485">
        <v>1038</v>
      </c>
      <c r="B77" s="458" t="s">
        <v>551</v>
      </c>
      <c r="C77" s="486" t="s">
        <v>659</v>
      </c>
      <c r="D77" s="459">
        <v>4.4999999999999998E-2</v>
      </c>
      <c r="E77" s="488"/>
      <c r="F77" s="488"/>
      <c r="G77" s="488"/>
      <c r="H77" s="488">
        <f>$H$74*D77</f>
        <v>397.801077361875</v>
      </c>
      <c r="I77" s="488">
        <f>$I$74*D77</f>
        <v>422.42866875000004</v>
      </c>
    </row>
    <row r="78" spans="1:12" s="522" customFormat="1" ht="13.5" customHeight="1" x14ac:dyDescent="0.2">
      <c r="A78" s="485">
        <v>1033</v>
      </c>
      <c r="B78" s="458" t="s">
        <v>551</v>
      </c>
      <c r="C78" s="486" t="s">
        <v>1087</v>
      </c>
      <c r="D78" s="459">
        <v>2.5000000000000001E-2</v>
      </c>
      <c r="E78" s="488"/>
      <c r="F78" s="488"/>
      <c r="G78" s="488"/>
      <c r="H78" s="488">
        <f>$H$74*D78</f>
        <v>221.00059853437503</v>
      </c>
      <c r="I78" s="488">
        <f>$I$74*D78</f>
        <v>234.68259375000002</v>
      </c>
    </row>
    <row r="79" spans="1:12" ht="13.5" customHeight="1" x14ac:dyDescent="0.2">
      <c r="A79" s="457"/>
      <c r="B79" s="532"/>
      <c r="C79" s="533"/>
      <c r="D79" s="534"/>
      <c r="E79" s="488"/>
      <c r="F79" s="488"/>
      <c r="G79" s="488"/>
      <c r="H79" s="488"/>
      <c r="I79" s="488"/>
    </row>
    <row r="80" spans="1:12" ht="13.5" customHeight="1" x14ac:dyDescent="0.2">
      <c r="A80" s="485">
        <v>1067</v>
      </c>
      <c r="B80" s="469" t="s">
        <v>562</v>
      </c>
      <c r="C80" s="486" t="s">
        <v>1082</v>
      </c>
      <c r="D80" s="534">
        <v>2.5000000000000001E-2</v>
      </c>
      <c r="E80" s="488"/>
      <c r="F80" s="488"/>
      <c r="G80" s="488"/>
      <c r="H80" s="488">
        <f>$H$74*D80</f>
        <v>221.00059853437503</v>
      </c>
      <c r="I80" s="488">
        <f>$I$74*D80</f>
        <v>234.68259375000002</v>
      </c>
    </row>
    <row r="81" spans="1:12" ht="13.5" customHeight="1" x14ac:dyDescent="0.2">
      <c r="A81" s="485" t="s">
        <v>763</v>
      </c>
      <c r="B81" s="469" t="s">
        <v>763</v>
      </c>
      <c r="C81" s="486" t="s">
        <v>1083</v>
      </c>
      <c r="D81" s="459">
        <v>0.02</v>
      </c>
      <c r="E81" s="488"/>
      <c r="F81" s="488"/>
      <c r="G81" s="488"/>
      <c r="H81" s="488">
        <f>$H$74*D81</f>
        <v>176.8004788275</v>
      </c>
      <c r="I81" s="488">
        <f>$I$74*D81</f>
        <v>187.74607500000002</v>
      </c>
    </row>
    <row r="82" spans="1:12" ht="13.5" customHeight="1" x14ac:dyDescent="0.2">
      <c r="A82" s="457"/>
      <c r="B82" s="532"/>
      <c r="C82" s="533"/>
      <c r="D82" s="534"/>
      <c r="E82" s="488"/>
      <c r="F82" s="488"/>
      <c r="G82" s="488"/>
      <c r="H82" s="488"/>
      <c r="I82" s="488"/>
    </row>
    <row r="83" spans="1:12" s="522" customFormat="1" ht="13.5" customHeight="1" x14ac:dyDescent="0.2">
      <c r="A83" s="485">
        <v>1002</v>
      </c>
      <c r="B83" s="486" t="s">
        <v>1084</v>
      </c>
      <c r="C83" s="486" t="s">
        <v>656</v>
      </c>
      <c r="D83" s="459">
        <v>0.01</v>
      </c>
      <c r="E83" s="488"/>
      <c r="F83" s="488"/>
      <c r="G83" s="488"/>
      <c r="H83" s="488">
        <f t="shared" ref="H83:H88" si="21">$H$74*D83</f>
        <v>88.40023941375</v>
      </c>
      <c r="I83" s="488">
        <f t="shared" ref="I83:I88" si="22">$I$74*D83</f>
        <v>93.873037500000009</v>
      </c>
    </row>
    <row r="84" spans="1:12" s="522" customFormat="1" ht="13.5" customHeight="1" x14ac:dyDescent="0.2">
      <c r="A84" s="485">
        <v>1004</v>
      </c>
      <c r="B84" s="486" t="s">
        <v>1085</v>
      </c>
      <c r="C84" s="486" t="s">
        <v>1086</v>
      </c>
      <c r="D84" s="459">
        <v>0.03</v>
      </c>
      <c r="E84" s="488"/>
      <c r="F84" s="488"/>
      <c r="G84" s="488"/>
      <c r="H84" s="488">
        <f t="shared" si="21"/>
        <v>265.20071824125</v>
      </c>
      <c r="I84" s="488">
        <f t="shared" si="22"/>
        <v>281.61911250000003</v>
      </c>
    </row>
    <row r="85" spans="1:12" s="522" customFormat="1" ht="13.5" customHeight="1" x14ac:dyDescent="0.2">
      <c r="A85" s="485">
        <v>1008</v>
      </c>
      <c r="B85" s="486" t="s">
        <v>1047</v>
      </c>
      <c r="C85" s="486" t="s">
        <v>1048</v>
      </c>
      <c r="D85" s="459">
        <v>0.06</v>
      </c>
      <c r="E85" s="488"/>
      <c r="F85" s="488"/>
      <c r="G85" s="488"/>
      <c r="H85" s="488">
        <f t="shared" si="21"/>
        <v>530.4014364825</v>
      </c>
      <c r="I85" s="488">
        <f t="shared" si="22"/>
        <v>563.23822500000006</v>
      </c>
    </row>
    <row r="86" spans="1:12" s="522" customFormat="1" ht="13.5" customHeight="1" x14ac:dyDescent="0.2">
      <c r="A86" s="485">
        <v>1010</v>
      </c>
      <c r="B86" s="486" t="s">
        <v>1049</v>
      </c>
      <c r="C86" s="486" t="s">
        <v>1050</v>
      </c>
      <c r="D86" s="459">
        <v>0.08</v>
      </c>
      <c r="E86" s="488"/>
      <c r="F86" s="488"/>
      <c r="G86" s="488"/>
      <c r="H86" s="488">
        <f t="shared" si="21"/>
        <v>707.20191531</v>
      </c>
      <c r="I86" s="488">
        <f t="shared" si="22"/>
        <v>750.98430000000008</v>
      </c>
    </row>
    <row r="87" spans="1:12" s="522" customFormat="1" ht="13.5" customHeight="1" x14ac:dyDescent="0.2">
      <c r="A87" s="485">
        <v>1003</v>
      </c>
      <c r="B87" s="486" t="s">
        <v>1051</v>
      </c>
      <c r="C87" s="486" t="s">
        <v>1052</v>
      </c>
      <c r="D87" s="459">
        <v>0.105</v>
      </c>
      <c r="E87" s="488"/>
      <c r="F87" s="488"/>
      <c r="G87" s="488"/>
      <c r="H87" s="488">
        <f t="shared" si="21"/>
        <v>928.20251384437506</v>
      </c>
      <c r="I87" s="488">
        <f t="shared" si="22"/>
        <v>985.6668937500001</v>
      </c>
    </row>
    <row r="88" spans="1:12" s="522" customFormat="1" ht="13.5" customHeight="1" x14ac:dyDescent="0.2">
      <c r="A88" s="485">
        <v>1005</v>
      </c>
      <c r="B88" s="486" t="s">
        <v>1053</v>
      </c>
      <c r="C88" s="486" t="s">
        <v>1054</v>
      </c>
      <c r="D88" s="459">
        <v>0.13500000000000001</v>
      </c>
      <c r="E88" s="488"/>
      <c r="F88" s="488"/>
      <c r="G88" s="488"/>
      <c r="H88" s="488">
        <f t="shared" si="21"/>
        <v>1193.4032320856252</v>
      </c>
      <c r="I88" s="488">
        <f t="shared" si="22"/>
        <v>1267.2860062500001</v>
      </c>
    </row>
    <row r="89" spans="1:12" s="522" customFormat="1" ht="13.5" customHeight="1" thickBot="1" x14ac:dyDescent="0.25">
      <c r="A89" s="523">
        <v>1006</v>
      </c>
      <c r="B89" s="524" t="s">
        <v>1055</v>
      </c>
      <c r="C89" s="524" t="s">
        <v>1056</v>
      </c>
      <c r="D89" s="460">
        <v>0.14499999999999999</v>
      </c>
      <c r="E89" s="508"/>
      <c r="F89" s="508"/>
      <c r="G89" s="508"/>
      <c r="H89" s="488">
        <f t="shared" ref="H89" si="23">$H$74*D89</f>
        <v>1281.8034714993751</v>
      </c>
      <c r="I89" s="488">
        <f t="shared" ref="I89" si="24">$I$74*D89</f>
        <v>1361.1590437500001</v>
      </c>
    </row>
    <row r="90" spans="1:12" s="522" customFormat="1" ht="13.5" customHeight="1" x14ac:dyDescent="0.2">
      <c r="A90" s="509"/>
      <c r="B90" s="510"/>
      <c r="C90" s="510"/>
      <c r="D90" s="512"/>
      <c r="E90" s="513"/>
      <c r="F90" s="513"/>
      <c r="G90" s="513"/>
      <c r="H90" s="513"/>
      <c r="I90" s="513"/>
    </row>
    <row r="91" spans="1:12" ht="26.1" customHeight="1" thickBot="1" x14ac:dyDescent="0.25">
      <c r="A91" s="525"/>
      <c r="B91" s="526"/>
      <c r="C91" s="527"/>
      <c r="D91" s="528"/>
      <c r="E91" s="513"/>
      <c r="F91" s="513"/>
      <c r="G91" s="513"/>
      <c r="H91" s="513"/>
      <c r="I91" s="513"/>
    </row>
    <row r="92" spans="1:12" ht="16.5" thickBot="1" x14ac:dyDescent="0.25">
      <c r="A92" s="688" t="s">
        <v>464</v>
      </c>
      <c r="B92" s="688" t="s">
        <v>465</v>
      </c>
      <c r="C92" s="688" t="s">
        <v>466</v>
      </c>
      <c r="D92" s="696" t="s">
        <v>468</v>
      </c>
      <c r="E92" s="700" t="s">
        <v>534</v>
      </c>
      <c r="F92" s="701"/>
      <c r="G92" s="701"/>
      <c r="H92" s="701"/>
      <c r="I92" s="702"/>
      <c r="J92" s="36"/>
      <c r="K92" s="36"/>
      <c r="L92" s="36"/>
    </row>
    <row r="93" spans="1:12" ht="13.5" customHeight="1" x14ac:dyDescent="0.2">
      <c r="A93" s="689"/>
      <c r="B93" s="691"/>
      <c r="C93" s="691"/>
      <c r="D93" s="689"/>
      <c r="E93" s="74" t="s">
        <v>469</v>
      </c>
      <c r="F93" s="74" t="s">
        <v>470</v>
      </c>
      <c r="G93" s="74" t="s">
        <v>471</v>
      </c>
      <c r="H93" s="74" t="s">
        <v>472</v>
      </c>
      <c r="I93" s="74" t="s">
        <v>473</v>
      </c>
    </row>
    <row r="94" spans="1:12" ht="13.5" customHeight="1" thickBot="1" x14ac:dyDescent="0.25">
      <c r="A94" s="690"/>
      <c r="B94" s="692"/>
      <c r="C94" s="692"/>
      <c r="D94" s="690"/>
      <c r="E94" s="537"/>
      <c r="F94" s="538"/>
      <c r="G94" s="538"/>
      <c r="H94" s="516">
        <f>'F - Firefighters (rep)'!G29</f>
        <v>9724.0263355125007</v>
      </c>
      <c r="I94" s="516">
        <f>'F - Firefighters (rep)'!H29</f>
        <v>10326.034125000002</v>
      </c>
    </row>
    <row r="95" spans="1:12" s="522" customFormat="1" ht="13.5" customHeight="1" x14ac:dyDescent="0.2">
      <c r="A95" s="517">
        <v>1032</v>
      </c>
      <c r="B95" s="518" t="s">
        <v>551</v>
      </c>
      <c r="C95" s="530" t="s">
        <v>657</v>
      </c>
      <c r="D95" s="531">
        <v>2.5000000000000001E-2</v>
      </c>
      <c r="E95" s="521"/>
      <c r="F95" s="521"/>
      <c r="G95" s="521"/>
      <c r="H95" s="521">
        <f>$H$94*D95</f>
        <v>243.10065838781253</v>
      </c>
      <c r="I95" s="521">
        <f>$I$94*D95</f>
        <v>258.15085312500008</v>
      </c>
    </row>
    <row r="96" spans="1:12" s="522" customFormat="1" ht="13.5" customHeight="1" x14ac:dyDescent="0.2">
      <c r="A96" s="485">
        <v>1036</v>
      </c>
      <c r="B96" s="458" t="s">
        <v>551</v>
      </c>
      <c r="C96" s="486" t="s">
        <v>658</v>
      </c>
      <c r="D96" s="459">
        <v>0.04</v>
      </c>
      <c r="E96" s="488"/>
      <c r="F96" s="488"/>
      <c r="G96" s="488"/>
      <c r="H96" s="488">
        <f t="shared" ref="H96:H103" si="25">$H$94*D96</f>
        <v>388.96105342050004</v>
      </c>
      <c r="I96" s="488">
        <f t="shared" ref="I96:I103" si="26">$I$94*D96</f>
        <v>413.0413650000001</v>
      </c>
    </row>
    <row r="97" spans="1:12" s="522" customFormat="1" ht="13.5" customHeight="1" x14ac:dyDescent="0.2">
      <c r="A97" s="485">
        <v>1038</v>
      </c>
      <c r="B97" s="458" t="s">
        <v>551</v>
      </c>
      <c r="C97" s="486" t="s">
        <v>659</v>
      </c>
      <c r="D97" s="459">
        <v>4.4999999999999998E-2</v>
      </c>
      <c r="E97" s="488"/>
      <c r="F97" s="488"/>
      <c r="G97" s="488"/>
      <c r="H97" s="488">
        <f t="shared" si="25"/>
        <v>437.58118509806252</v>
      </c>
      <c r="I97" s="488">
        <f t="shared" si="26"/>
        <v>464.67153562500005</v>
      </c>
    </row>
    <row r="98" spans="1:12" s="522" customFormat="1" ht="13.5" customHeight="1" x14ac:dyDescent="0.2">
      <c r="A98" s="485">
        <v>1033</v>
      </c>
      <c r="B98" s="458" t="s">
        <v>551</v>
      </c>
      <c r="C98" s="486" t="s">
        <v>1087</v>
      </c>
      <c r="D98" s="459">
        <v>2.5000000000000001E-2</v>
      </c>
      <c r="E98" s="488"/>
      <c r="F98" s="488"/>
      <c r="G98" s="488"/>
      <c r="H98" s="488">
        <f t="shared" si="25"/>
        <v>243.10065838781253</v>
      </c>
      <c r="I98" s="488">
        <f t="shared" si="26"/>
        <v>258.15085312500008</v>
      </c>
    </row>
    <row r="99" spans="1:12" ht="13.5" customHeight="1" x14ac:dyDescent="0.2">
      <c r="A99" s="457"/>
      <c r="B99" s="532"/>
      <c r="C99" s="533"/>
      <c r="D99" s="534"/>
      <c r="E99" s="488"/>
      <c r="F99" s="488"/>
      <c r="G99" s="488"/>
      <c r="H99" s="488"/>
      <c r="I99" s="488"/>
    </row>
    <row r="100" spans="1:12" s="522" customFormat="1" ht="13.5" customHeight="1" x14ac:dyDescent="0.2">
      <c r="A100" s="485">
        <v>1002</v>
      </c>
      <c r="B100" s="486" t="s">
        <v>1084</v>
      </c>
      <c r="C100" s="486" t="s">
        <v>656</v>
      </c>
      <c r="D100" s="459">
        <v>0.01</v>
      </c>
      <c r="E100" s="488"/>
      <c r="F100" s="488"/>
      <c r="G100" s="488"/>
      <c r="H100" s="488">
        <f t="shared" si="25"/>
        <v>97.240263355125009</v>
      </c>
      <c r="I100" s="488">
        <f t="shared" si="26"/>
        <v>103.26034125000002</v>
      </c>
    </row>
    <row r="101" spans="1:12" s="522" customFormat="1" ht="13.5" customHeight="1" x14ac:dyDescent="0.2">
      <c r="A101" s="485">
        <v>1004</v>
      </c>
      <c r="B101" s="486" t="s">
        <v>1085</v>
      </c>
      <c r="C101" s="486" t="s">
        <v>1086</v>
      </c>
      <c r="D101" s="459">
        <v>0.03</v>
      </c>
      <c r="E101" s="488"/>
      <c r="F101" s="488"/>
      <c r="G101" s="488"/>
      <c r="H101" s="488">
        <f t="shared" si="25"/>
        <v>291.72079006537501</v>
      </c>
      <c r="I101" s="488">
        <f t="shared" si="26"/>
        <v>309.78102375000003</v>
      </c>
    </row>
    <row r="102" spans="1:12" s="522" customFormat="1" ht="13.5" customHeight="1" x14ac:dyDescent="0.2">
      <c r="A102" s="485">
        <v>1008</v>
      </c>
      <c r="B102" s="486" t="s">
        <v>1047</v>
      </c>
      <c r="C102" s="486" t="s">
        <v>1048</v>
      </c>
      <c r="D102" s="459">
        <v>0.06</v>
      </c>
      <c r="E102" s="488"/>
      <c r="F102" s="488"/>
      <c r="G102" s="488"/>
      <c r="H102" s="488">
        <f t="shared" si="25"/>
        <v>583.44158013075003</v>
      </c>
      <c r="I102" s="488">
        <f t="shared" si="26"/>
        <v>619.56204750000006</v>
      </c>
    </row>
    <row r="103" spans="1:12" s="522" customFormat="1" ht="13.5" customHeight="1" x14ac:dyDescent="0.2">
      <c r="A103" s="485">
        <v>1010</v>
      </c>
      <c r="B103" s="486" t="s">
        <v>1049</v>
      </c>
      <c r="C103" s="486" t="s">
        <v>1050</v>
      </c>
      <c r="D103" s="459">
        <v>0.08</v>
      </c>
      <c r="E103" s="488"/>
      <c r="F103" s="488"/>
      <c r="G103" s="488"/>
      <c r="H103" s="488">
        <f t="shared" si="25"/>
        <v>777.92210684100007</v>
      </c>
      <c r="I103" s="488">
        <f t="shared" si="26"/>
        <v>826.0827300000002</v>
      </c>
    </row>
    <row r="104" spans="1:12" s="522" customFormat="1" ht="13.5" customHeight="1" x14ac:dyDescent="0.2">
      <c r="A104" s="485">
        <v>1003</v>
      </c>
      <c r="B104" s="486" t="s">
        <v>1051</v>
      </c>
      <c r="C104" s="486" t="s">
        <v>1052</v>
      </c>
      <c r="D104" s="459">
        <v>0.105</v>
      </c>
      <c r="E104" s="488"/>
      <c r="F104" s="488"/>
      <c r="G104" s="488"/>
      <c r="H104" s="488">
        <f>$H$94*D104</f>
        <v>1021.0227652288125</v>
      </c>
      <c r="I104" s="488">
        <f>$I$94*D104</f>
        <v>1084.2335831250002</v>
      </c>
    </row>
    <row r="105" spans="1:12" ht="12.75" x14ac:dyDescent="0.2">
      <c r="A105" s="485">
        <v>1005</v>
      </c>
      <c r="B105" s="486" t="s">
        <v>1053</v>
      </c>
      <c r="C105" s="486" t="s">
        <v>1054</v>
      </c>
      <c r="D105" s="459">
        <v>0.13500000000000001</v>
      </c>
      <c r="E105" s="488"/>
      <c r="F105" s="488"/>
      <c r="G105" s="488"/>
      <c r="H105" s="488">
        <f>$H$94*D105</f>
        <v>1312.7435552941877</v>
      </c>
      <c r="I105" s="488">
        <f>$I$94*D105</f>
        <v>1394.0146068750003</v>
      </c>
    </row>
    <row r="106" spans="1:12" s="522" customFormat="1" ht="13.5" customHeight="1" thickBot="1" x14ac:dyDescent="0.25">
      <c r="A106" s="523">
        <v>1006</v>
      </c>
      <c r="B106" s="524" t="s">
        <v>1055</v>
      </c>
      <c r="C106" s="524" t="s">
        <v>1056</v>
      </c>
      <c r="D106" s="460">
        <v>0.14499999999999999</v>
      </c>
      <c r="E106" s="508"/>
      <c r="F106" s="508"/>
      <c r="G106" s="508"/>
      <c r="H106" s="488">
        <f>$H$94*D106</f>
        <v>1409.9838186493125</v>
      </c>
      <c r="I106" s="488">
        <f>$I$94*D106</f>
        <v>1497.2749481250003</v>
      </c>
    </row>
    <row r="107" spans="1:12" s="522" customFormat="1" ht="13.5" customHeight="1" x14ac:dyDescent="0.2">
      <c r="A107" s="509"/>
      <c r="B107" s="510"/>
      <c r="C107" s="510"/>
      <c r="D107" s="512"/>
      <c r="E107" s="513"/>
      <c r="F107" s="513"/>
      <c r="G107" s="513"/>
      <c r="H107" s="513"/>
      <c r="I107" s="513"/>
    </row>
    <row r="108" spans="1:12" ht="26.1" customHeight="1" thickBot="1" x14ac:dyDescent="0.25">
      <c r="A108" s="525"/>
      <c r="B108" s="526"/>
      <c r="C108" s="527"/>
      <c r="D108" s="528"/>
      <c r="E108" s="513"/>
      <c r="F108" s="513"/>
      <c r="G108" s="513"/>
      <c r="H108" s="513"/>
      <c r="I108" s="513"/>
    </row>
    <row r="109" spans="1:12" ht="16.5" thickBot="1" x14ac:dyDescent="0.25">
      <c r="A109" s="688" t="s">
        <v>464</v>
      </c>
      <c r="B109" s="688" t="s">
        <v>465</v>
      </c>
      <c r="C109" s="688" t="s">
        <v>466</v>
      </c>
      <c r="D109" s="696" t="s">
        <v>468</v>
      </c>
      <c r="E109" s="700" t="s">
        <v>475</v>
      </c>
      <c r="F109" s="701"/>
      <c r="G109" s="701"/>
      <c r="H109" s="701"/>
      <c r="I109" s="702"/>
      <c r="J109" s="36"/>
      <c r="K109" s="36"/>
      <c r="L109" s="36"/>
    </row>
    <row r="110" spans="1:12" ht="13.5" customHeight="1" x14ac:dyDescent="0.2">
      <c r="A110" s="689"/>
      <c r="B110" s="691"/>
      <c r="C110" s="691"/>
      <c r="D110" s="689"/>
      <c r="E110" s="74" t="s">
        <v>469</v>
      </c>
      <c r="F110" s="74" t="s">
        <v>470</v>
      </c>
      <c r="G110" s="74" t="s">
        <v>471</v>
      </c>
      <c r="H110" s="74" t="s">
        <v>472</v>
      </c>
      <c r="I110" s="74" t="s">
        <v>473</v>
      </c>
    </row>
    <row r="111" spans="1:12" ht="13.5" customHeight="1" thickBot="1" x14ac:dyDescent="0.25">
      <c r="A111" s="690"/>
      <c r="B111" s="692"/>
      <c r="C111" s="692"/>
      <c r="D111" s="690"/>
      <c r="E111" s="537"/>
      <c r="F111" s="538"/>
      <c r="G111" s="538"/>
      <c r="H111" s="516">
        <f>'F - Firefighters (rep)'!G34</f>
        <v>9724.0263355125007</v>
      </c>
      <c r="I111" s="516">
        <f>'F - Firefighters (rep)'!H34</f>
        <v>10326.034125000002</v>
      </c>
    </row>
    <row r="112" spans="1:12" s="522" customFormat="1" ht="13.5" customHeight="1" x14ac:dyDescent="0.2">
      <c r="A112" s="517">
        <v>1032</v>
      </c>
      <c r="B112" s="518" t="s">
        <v>551</v>
      </c>
      <c r="C112" s="530" t="s">
        <v>657</v>
      </c>
      <c r="D112" s="531">
        <v>2.5000000000000001E-2</v>
      </c>
      <c r="E112" s="521"/>
      <c r="F112" s="521"/>
      <c r="G112" s="521"/>
      <c r="H112" s="521">
        <f>$H$111*D112</f>
        <v>243.10065838781253</v>
      </c>
      <c r="I112" s="521">
        <f>$I$111*D112</f>
        <v>258.15085312500008</v>
      </c>
    </row>
    <row r="113" spans="1:9" s="522" customFormat="1" ht="13.5" customHeight="1" x14ac:dyDescent="0.2">
      <c r="A113" s="485">
        <v>1038</v>
      </c>
      <c r="B113" s="458" t="s">
        <v>551</v>
      </c>
      <c r="C113" s="486" t="s">
        <v>660</v>
      </c>
      <c r="D113" s="459">
        <v>4.4999999999999998E-2</v>
      </c>
      <c r="E113" s="488"/>
      <c r="F113" s="488"/>
      <c r="G113" s="488"/>
      <c r="H113" s="488">
        <f t="shared" ref="H113:H123" si="27">$H$111*D113</f>
        <v>437.58118509806252</v>
      </c>
      <c r="I113" s="488">
        <f t="shared" ref="I113:I123" si="28">$I$111*D113</f>
        <v>464.67153562500005</v>
      </c>
    </row>
    <row r="114" spans="1:9" s="522" customFormat="1" ht="13.5" customHeight="1" x14ac:dyDescent="0.2">
      <c r="A114" s="485">
        <v>1040</v>
      </c>
      <c r="B114" s="458" t="s">
        <v>551</v>
      </c>
      <c r="C114" s="486" t="s">
        <v>661</v>
      </c>
      <c r="D114" s="459">
        <v>0.05</v>
      </c>
      <c r="E114" s="488"/>
      <c r="F114" s="488"/>
      <c r="G114" s="488"/>
      <c r="H114" s="488">
        <f t="shared" si="27"/>
        <v>486.20131677562506</v>
      </c>
      <c r="I114" s="488">
        <f t="shared" si="28"/>
        <v>516.30170625000017</v>
      </c>
    </row>
    <row r="115" spans="1:9" s="522" customFormat="1" ht="13.5" customHeight="1" x14ac:dyDescent="0.2">
      <c r="A115" s="485">
        <v>1033</v>
      </c>
      <c r="B115" s="458" t="s">
        <v>551</v>
      </c>
      <c r="C115" s="486" t="s">
        <v>1087</v>
      </c>
      <c r="D115" s="459">
        <v>2.5000000000000001E-2</v>
      </c>
      <c r="E115" s="488"/>
      <c r="F115" s="488"/>
      <c r="G115" s="488"/>
      <c r="H115" s="488">
        <f t="shared" si="27"/>
        <v>243.10065838781253</v>
      </c>
      <c r="I115" s="488">
        <f t="shared" si="28"/>
        <v>258.15085312500008</v>
      </c>
    </row>
    <row r="116" spans="1:9" ht="13.5" customHeight="1" x14ac:dyDescent="0.2">
      <c r="A116" s="457"/>
      <c r="B116" s="532"/>
      <c r="C116" s="533"/>
      <c r="D116" s="534"/>
      <c r="E116" s="488"/>
      <c r="F116" s="488"/>
      <c r="G116" s="488"/>
      <c r="H116" s="488"/>
      <c r="I116" s="488"/>
    </row>
    <row r="117" spans="1:9" ht="13.5" customHeight="1" x14ac:dyDescent="0.2">
      <c r="A117" s="485">
        <v>1067</v>
      </c>
      <c r="B117" s="469" t="s">
        <v>562</v>
      </c>
      <c r="C117" s="486" t="s">
        <v>1082</v>
      </c>
      <c r="D117" s="534">
        <v>2.5000000000000001E-2</v>
      </c>
      <c r="E117" s="488"/>
      <c r="F117" s="488"/>
      <c r="G117" s="488"/>
      <c r="H117" s="488">
        <f>$H$111*D117</f>
        <v>243.10065838781253</v>
      </c>
      <c r="I117" s="488">
        <f>$I$111*D117</f>
        <v>258.15085312500008</v>
      </c>
    </row>
    <row r="118" spans="1:9" ht="13.5" customHeight="1" x14ac:dyDescent="0.2">
      <c r="A118" s="485" t="s">
        <v>763</v>
      </c>
      <c r="B118" s="469" t="s">
        <v>763</v>
      </c>
      <c r="C118" s="486" t="s">
        <v>1083</v>
      </c>
      <c r="D118" s="459">
        <v>0.02</v>
      </c>
      <c r="E118" s="488"/>
      <c r="F118" s="488"/>
      <c r="G118" s="488"/>
      <c r="H118" s="488">
        <f>$H$111*D118</f>
        <v>194.48052671025002</v>
      </c>
      <c r="I118" s="488">
        <f>$I$111*D118</f>
        <v>206.52068250000005</v>
      </c>
    </row>
    <row r="119" spans="1:9" ht="13.5" customHeight="1" x14ac:dyDescent="0.2">
      <c r="A119" s="457"/>
      <c r="B119" s="532"/>
      <c r="C119" s="533"/>
      <c r="D119" s="534"/>
      <c r="E119" s="488"/>
      <c r="F119" s="488"/>
      <c r="G119" s="488"/>
      <c r="H119" s="488"/>
      <c r="I119" s="488"/>
    </row>
    <row r="120" spans="1:9" s="522" customFormat="1" ht="13.5" customHeight="1" x14ac:dyDescent="0.2">
      <c r="A120" s="485">
        <v>1002</v>
      </c>
      <c r="B120" s="486" t="s">
        <v>1084</v>
      </c>
      <c r="C120" s="486" t="s">
        <v>656</v>
      </c>
      <c r="D120" s="459">
        <v>0.01</v>
      </c>
      <c r="E120" s="488"/>
      <c r="F120" s="488"/>
      <c r="G120" s="488"/>
      <c r="H120" s="488">
        <f t="shared" si="27"/>
        <v>97.240263355125009</v>
      </c>
      <c r="I120" s="488">
        <f t="shared" si="28"/>
        <v>103.26034125000002</v>
      </c>
    </row>
    <row r="121" spans="1:9" s="522" customFormat="1" ht="13.5" customHeight="1" x14ac:dyDescent="0.2">
      <c r="A121" s="485">
        <v>1004</v>
      </c>
      <c r="B121" s="486" t="s">
        <v>1085</v>
      </c>
      <c r="C121" s="486" t="s">
        <v>1086</v>
      </c>
      <c r="D121" s="459">
        <v>0.03</v>
      </c>
      <c r="E121" s="488"/>
      <c r="F121" s="488"/>
      <c r="G121" s="488"/>
      <c r="H121" s="488">
        <f t="shared" si="27"/>
        <v>291.72079006537501</v>
      </c>
      <c r="I121" s="488">
        <f t="shared" si="28"/>
        <v>309.78102375000003</v>
      </c>
    </row>
    <row r="122" spans="1:9" s="522" customFormat="1" ht="13.5" customHeight="1" x14ac:dyDescent="0.2">
      <c r="A122" s="485">
        <v>1008</v>
      </c>
      <c r="B122" s="486" t="s">
        <v>1047</v>
      </c>
      <c r="C122" s="486" t="s">
        <v>1048</v>
      </c>
      <c r="D122" s="459">
        <v>0.06</v>
      </c>
      <c r="E122" s="488"/>
      <c r="F122" s="488"/>
      <c r="G122" s="488"/>
      <c r="H122" s="488">
        <f t="shared" si="27"/>
        <v>583.44158013075003</v>
      </c>
      <c r="I122" s="488">
        <f t="shared" si="28"/>
        <v>619.56204750000006</v>
      </c>
    </row>
    <row r="123" spans="1:9" s="522" customFormat="1" ht="13.5" customHeight="1" x14ac:dyDescent="0.2">
      <c r="A123" s="485">
        <v>1010</v>
      </c>
      <c r="B123" s="486" t="s">
        <v>1049</v>
      </c>
      <c r="C123" s="486" t="s">
        <v>1050</v>
      </c>
      <c r="D123" s="459">
        <v>0.08</v>
      </c>
      <c r="E123" s="488"/>
      <c r="F123" s="488"/>
      <c r="G123" s="488"/>
      <c r="H123" s="488">
        <f t="shared" si="27"/>
        <v>777.92210684100007</v>
      </c>
      <c r="I123" s="488">
        <f t="shared" si="28"/>
        <v>826.0827300000002</v>
      </c>
    </row>
    <row r="124" spans="1:9" s="522" customFormat="1" ht="13.5" customHeight="1" x14ac:dyDescent="0.2">
      <c r="A124" s="485">
        <v>1003</v>
      </c>
      <c r="B124" s="486" t="s">
        <v>1051</v>
      </c>
      <c r="C124" s="486" t="s">
        <v>1052</v>
      </c>
      <c r="D124" s="459">
        <v>0.105</v>
      </c>
      <c r="E124" s="488"/>
      <c r="F124" s="488"/>
      <c r="G124" s="488"/>
      <c r="H124" s="488">
        <f>$H$111*D124</f>
        <v>1021.0227652288125</v>
      </c>
      <c r="I124" s="488">
        <f>$I$111*D124</f>
        <v>1084.2335831250002</v>
      </c>
    </row>
    <row r="125" spans="1:9" ht="12.75" x14ac:dyDescent="0.2">
      <c r="A125" s="485">
        <v>1005</v>
      </c>
      <c r="B125" s="486" t="s">
        <v>1053</v>
      </c>
      <c r="C125" s="486" t="s">
        <v>1054</v>
      </c>
      <c r="D125" s="459">
        <v>0.13500000000000001</v>
      </c>
      <c r="E125" s="488"/>
      <c r="F125" s="488"/>
      <c r="G125" s="488"/>
      <c r="H125" s="488">
        <f>$H$111*D125</f>
        <v>1312.7435552941877</v>
      </c>
      <c r="I125" s="488">
        <f>$I$111*D125</f>
        <v>1394.0146068750003</v>
      </c>
    </row>
    <row r="126" spans="1:9" s="522" customFormat="1" ht="13.5" customHeight="1" thickBot="1" x14ac:dyDescent="0.25">
      <c r="A126" s="523">
        <v>1006</v>
      </c>
      <c r="B126" s="524" t="s">
        <v>1055</v>
      </c>
      <c r="C126" s="524" t="s">
        <v>1056</v>
      </c>
      <c r="D126" s="460">
        <v>0.14499999999999999</v>
      </c>
      <c r="E126" s="508"/>
      <c r="F126" s="508"/>
      <c r="G126" s="508"/>
      <c r="H126" s="488">
        <f>$H$111*D126</f>
        <v>1409.9838186493125</v>
      </c>
      <c r="I126" s="488">
        <f>$I$111*D126</f>
        <v>1497.2749481250003</v>
      </c>
    </row>
    <row r="127" spans="1:9" s="522" customFormat="1" ht="37.5" customHeight="1" x14ac:dyDescent="0.2">
      <c r="A127" s="509"/>
      <c r="B127" s="510"/>
      <c r="C127" s="510"/>
      <c r="D127" s="512"/>
      <c r="E127" s="513"/>
      <c r="F127" s="513"/>
      <c r="G127" s="513"/>
      <c r="H127" s="513"/>
      <c r="I127" s="513"/>
    </row>
    <row r="128" spans="1:9" ht="26.1" customHeight="1" thickBot="1" x14ac:dyDescent="0.25">
      <c r="A128" s="525"/>
      <c r="B128" s="526"/>
      <c r="C128" s="527"/>
      <c r="D128" s="528"/>
      <c r="E128" s="513"/>
      <c r="F128" s="513"/>
      <c r="G128" s="513"/>
      <c r="H128" s="513"/>
      <c r="I128" s="513"/>
    </row>
    <row r="129" spans="1:12" ht="16.5" thickBot="1" x14ac:dyDescent="0.25">
      <c r="A129" s="688" t="s">
        <v>464</v>
      </c>
      <c r="B129" s="688" t="s">
        <v>465</v>
      </c>
      <c r="C129" s="688" t="s">
        <v>466</v>
      </c>
      <c r="D129" s="696" t="s">
        <v>468</v>
      </c>
      <c r="E129" s="703" t="s">
        <v>535</v>
      </c>
      <c r="F129" s="698"/>
      <c r="G129" s="698"/>
      <c r="H129" s="698"/>
      <c r="I129" s="699"/>
      <c r="J129" s="36"/>
      <c r="K129" s="36"/>
      <c r="L129" s="36"/>
    </row>
    <row r="130" spans="1:12" ht="13.5" customHeight="1" x14ac:dyDescent="0.2">
      <c r="A130" s="689"/>
      <c r="B130" s="691"/>
      <c r="C130" s="691"/>
      <c r="D130" s="689"/>
      <c r="E130" s="74" t="s">
        <v>469</v>
      </c>
      <c r="F130" s="74" t="s">
        <v>470</v>
      </c>
      <c r="G130" s="74" t="s">
        <v>471</v>
      </c>
      <c r="H130" s="74" t="s">
        <v>472</v>
      </c>
      <c r="I130" s="74" t="s">
        <v>473</v>
      </c>
    </row>
    <row r="131" spans="1:12" ht="13.5" customHeight="1" thickBot="1" x14ac:dyDescent="0.25">
      <c r="A131" s="690"/>
      <c r="B131" s="692"/>
      <c r="C131" s="692"/>
      <c r="D131" s="690"/>
      <c r="E131" s="537"/>
      <c r="F131" s="538"/>
      <c r="G131" s="538"/>
      <c r="H131" s="539">
        <f>'F - Firefighters (rep)'!G39</f>
        <v>10696.428969063752</v>
      </c>
      <c r="I131" s="516">
        <f>'F - Firefighters (rep)'!H39</f>
        <v>11358.637537500003</v>
      </c>
    </row>
    <row r="132" spans="1:12" s="522" customFormat="1" ht="13.5" customHeight="1" x14ac:dyDescent="0.2">
      <c r="A132" s="517">
        <v>1032</v>
      </c>
      <c r="B132" s="518" t="s">
        <v>551</v>
      </c>
      <c r="C132" s="530" t="s">
        <v>657</v>
      </c>
      <c r="D132" s="531">
        <v>2.5000000000000001E-2</v>
      </c>
      <c r="E132" s="521"/>
      <c r="F132" s="521"/>
      <c r="G132" s="521"/>
      <c r="H132" s="540">
        <f>$H$131*D132</f>
        <v>267.4107242265938</v>
      </c>
      <c r="I132" s="521">
        <f>$I$131*D132</f>
        <v>283.96593843750009</v>
      </c>
    </row>
    <row r="133" spans="1:12" s="522" customFormat="1" ht="13.5" customHeight="1" x14ac:dyDescent="0.2">
      <c r="A133" s="485">
        <v>1038</v>
      </c>
      <c r="B133" s="458" t="s">
        <v>551</v>
      </c>
      <c r="C133" s="486" t="s">
        <v>660</v>
      </c>
      <c r="D133" s="459">
        <v>4.4999999999999998E-2</v>
      </c>
      <c r="E133" s="488"/>
      <c r="F133" s="488"/>
      <c r="G133" s="488"/>
      <c r="H133" s="488">
        <f t="shared" ref="H133:H140" si="29">$H$131*D133</f>
        <v>481.33930360786883</v>
      </c>
      <c r="I133" s="488">
        <f t="shared" ref="I133:I140" si="30">$I$131*D133</f>
        <v>511.13868918750012</v>
      </c>
    </row>
    <row r="134" spans="1:12" s="522" customFormat="1" ht="13.5" customHeight="1" x14ac:dyDescent="0.2">
      <c r="A134" s="485">
        <v>1040</v>
      </c>
      <c r="B134" s="458" t="s">
        <v>551</v>
      </c>
      <c r="C134" s="486" t="s">
        <v>661</v>
      </c>
      <c r="D134" s="459">
        <v>0.05</v>
      </c>
      <c r="E134" s="488"/>
      <c r="F134" s="488"/>
      <c r="G134" s="488"/>
      <c r="H134" s="488">
        <f t="shared" si="29"/>
        <v>534.8214484531876</v>
      </c>
      <c r="I134" s="488">
        <f t="shared" si="30"/>
        <v>567.93187687500017</v>
      </c>
    </row>
    <row r="135" spans="1:12" s="522" customFormat="1" ht="13.5" customHeight="1" x14ac:dyDescent="0.2">
      <c r="A135" s="485">
        <v>1033</v>
      </c>
      <c r="B135" s="458" t="s">
        <v>551</v>
      </c>
      <c r="C135" s="486" t="s">
        <v>1087</v>
      </c>
      <c r="D135" s="459">
        <v>2.5000000000000001E-2</v>
      </c>
      <c r="E135" s="488"/>
      <c r="F135" s="488"/>
      <c r="G135" s="488"/>
      <c r="H135" s="488">
        <f t="shared" si="29"/>
        <v>267.4107242265938</v>
      </c>
      <c r="I135" s="488">
        <f t="shared" si="30"/>
        <v>283.96593843750009</v>
      </c>
    </row>
    <row r="136" spans="1:12" ht="13.5" customHeight="1" x14ac:dyDescent="0.2">
      <c r="A136" s="457"/>
      <c r="B136" s="532"/>
      <c r="C136" s="533"/>
      <c r="D136" s="534"/>
      <c r="E136" s="488"/>
      <c r="F136" s="488"/>
      <c r="G136" s="488"/>
      <c r="H136" s="488"/>
      <c r="I136" s="488"/>
    </row>
    <row r="137" spans="1:12" s="522" customFormat="1" ht="13.5" customHeight="1" x14ac:dyDescent="0.2">
      <c r="A137" s="485">
        <v>1002</v>
      </c>
      <c r="B137" s="486" t="s">
        <v>1084</v>
      </c>
      <c r="C137" s="486" t="s">
        <v>656</v>
      </c>
      <c r="D137" s="459">
        <v>0.01</v>
      </c>
      <c r="E137" s="488"/>
      <c r="F137" s="488"/>
      <c r="G137" s="488"/>
      <c r="H137" s="488">
        <f t="shared" si="29"/>
        <v>106.96428969063753</v>
      </c>
      <c r="I137" s="488">
        <f t="shared" si="30"/>
        <v>113.58637537500003</v>
      </c>
    </row>
    <row r="138" spans="1:12" s="522" customFormat="1" ht="13.5" customHeight="1" x14ac:dyDescent="0.2">
      <c r="A138" s="485">
        <v>1004</v>
      </c>
      <c r="B138" s="486" t="s">
        <v>1085</v>
      </c>
      <c r="C138" s="486" t="s">
        <v>1086</v>
      </c>
      <c r="D138" s="459">
        <v>0.03</v>
      </c>
      <c r="E138" s="488"/>
      <c r="F138" s="488"/>
      <c r="G138" s="488"/>
      <c r="H138" s="488">
        <f t="shared" si="29"/>
        <v>320.89286907191257</v>
      </c>
      <c r="I138" s="488">
        <f t="shared" si="30"/>
        <v>340.75912612500008</v>
      </c>
    </row>
    <row r="139" spans="1:12" s="522" customFormat="1" ht="13.5" customHeight="1" x14ac:dyDescent="0.2">
      <c r="A139" s="485">
        <v>1008</v>
      </c>
      <c r="B139" s="486" t="s">
        <v>1047</v>
      </c>
      <c r="C139" s="486" t="s">
        <v>1048</v>
      </c>
      <c r="D139" s="459">
        <v>0.06</v>
      </c>
      <c r="E139" s="488"/>
      <c r="F139" s="488"/>
      <c r="G139" s="488"/>
      <c r="H139" s="488">
        <f t="shared" si="29"/>
        <v>641.78573814382514</v>
      </c>
      <c r="I139" s="488">
        <f t="shared" si="30"/>
        <v>681.51825225000016</v>
      </c>
    </row>
    <row r="140" spans="1:12" s="522" customFormat="1" ht="13.5" customHeight="1" x14ac:dyDescent="0.2">
      <c r="A140" s="485">
        <v>1010</v>
      </c>
      <c r="B140" s="486" t="s">
        <v>1049</v>
      </c>
      <c r="C140" s="486" t="s">
        <v>1050</v>
      </c>
      <c r="D140" s="459">
        <v>0.08</v>
      </c>
      <c r="E140" s="488"/>
      <c r="F140" s="488"/>
      <c r="G140" s="488"/>
      <c r="H140" s="488">
        <f t="shared" si="29"/>
        <v>855.71431752510023</v>
      </c>
      <c r="I140" s="488">
        <f t="shared" si="30"/>
        <v>908.69100300000025</v>
      </c>
    </row>
    <row r="141" spans="1:12" ht="12.75" x14ac:dyDescent="0.2">
      <c r="A141" s="485">
        <v>1003</v>
      </c>
      <c r="B141" s="486" t="s">
        <v>1051</v>
      </c>
      <c r="C141" s="486" t="s">
        <v>1052</v>
      </c>
      <c r="D141" s="459">
        <v>0.105</v>
      </c>
      <c r="E141" s="488"/>
      <c r="F141" s="488"/>
      <c r="G141" s="488"/>
      <c r="H141" s="488">
        <f>$H$131*D141</f>
        <v>1123.125041751694</v>
      </c>
      <c r="I141" s="488">
        <f>$I$131*D141</f>
        <v>1192.6569414375001</v>
      </c>
    </row>
    <row r="142" spans="1:12" ht="12.75" x14ac:dyDescent="0.2">
      <c r="A142" s="485">
        <v>1005</v>
      </c>
      <c r="B142" s="486" t="s">
        <v>1053</v>
      </c>
      <c r="C142" s="486" t="s">
        <v>1054</v>
      </c>
      <c r="D142" s="459">
        <v>0.13500000000000001</v>
      </c>
      <c r="E142" s="488"/>
      <c r="F142" s="488"/>
      <c r="G142" s="488"/>
      <c r="H142" s="488">
        <f>$H$131*D142</f>
        <v>1444.0179108236066</v>
      </c>
      <c r="I142" s="488">
        <f>$I$131*D142</f>
        <v>1533.4160675625005</v>
      </c>
    </row>
    <row r="143" spans="1:12" s="522" customFormat="1" ht="13.5" customHeight="1" thickBot="1" x14ac:dyDescent="0.25">
      <c r="A143" s="523">
        <v>1006</v>
      </c>
      <c r="B143" s="524" t="s">
        <v>1055</v>
      </c>
      <c r="C143" s="524" t="s">
        <v>1056</v>
      </c>
      <c r="D143" s="460">
        <v>0.14499999999999999</v>
      </c>
      <c r="E143" s="508"/>
      <c r="F143" s="508"/>
      <c r="G143" s="508"/>
      <c r="H143" s="488">
        <f>$H$131*D143</f>
        <v>1550.9822005142439</v>
      </c>
      <c r="I143" s="488">
        <f>$I$131*D143</f>
        <v>1647.0024429375003</v>
      </c>
    </row>
  </sheetData>
  <mergeCells count="38">
    <mergeCell ref="A109:A111"/>
    <mergeCell ref="B109:B111"/>
    <mergeCell ref="C109:C111"/>
    <mergeCell ref="D109:D111"/>
    <mergeCell ref="E109:I109"/>
    <mergeCell ref="A129:A131"/>
    <mergeCell ref="B129:B131"/>
    <mergeCell ref="C129:C131"/>
    <mergeCell ref="D129:D131"/>
    <mergeCell ref="E129:I129"/>
    <mergeCell ref="A72:A74"/>
    <mergeCell ref="B72:B74"/>
    <mergeCell ref="C72:C74"/>
    <mergeCell ref="D72:D74"/>
    <mergeCell ref="E72:I72"/>
    <mergeCell ref="A92:A94"/>
    <mergeCell ref="B92:B94"/>
    <mergeCell ref="C92:C94"/>
    <mergeCell ref="D92:D94"/>
    <mergeCell ref="E92:I92"/>
    <mergeCell ref="A37:A39"/>
    <mergeCell ref="B37:B39"/>
    <mergeCell ref="C37:C39"/>
    <mergeCell ref="D37:D39"/>
    <mergeCell ref="E37:I37"/>
    <mergeCell ref="A56:A58"/>
    <mergeCell ref="B56:B58"/>
    <mergeCell ref="C56:C58"/>
    <mergeCell ref="D56:D58"/>
    <mergeCell ref="E56:I56"/>
    <mergeCell ref="A2:E2"/>
    <mergeCell ref="G3:I3"/>
    <mergeCell ref="B13:C13"/>
    <mergeCell ref="A18:A20"/>
    <mergeCell ref="B18:B20"/>
    <mergeCell ref="C18:C20"/>
    <mergeCell ref="D18:D20"/>
    <mergeCell ref="E18:I18"/>
  </mergeCells>
  <printOptions horizontalCentered="1"/>
  <pageMargins left="0.25" right="0.25" top="0.5" bottom="0.5" header="0.5" footer="0.25"/>
  <pageSetup scale="91" fitToHeight="4" orientation="portrait" r:id="rId1"/>
  <headerFooter alignWithMargins="0">
    <oddFooter>&amp;C&amp;"Arial,Bold"&amp;16&amp;A&amp;RIAFF1604 Firefighters
2018 Add to Pay Rates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92D050"/>
  </sheetPr>
  <dimension ref="A1:N320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5" style="163" customWidth="1"/>
    <col min="2" max="2" width="1.7109375" style="163" bestFit="1" customWidth="1"/>
    <col min="3" max="3" width="8.28515625" style="163" customWidth="1"/>
    <col min="4" max="4" width="43.5703125" style="167" customWidth="1"/>
    <col min="5" max="5" width="11" style="170" customWidth="1"/>
    <col min="6" max="6" width="13.85546875" style="170" customWidth="1"/>
    <col min="7" max="7" width="11.28515625" style="170" bestFit="1" customWidth="1"/>
    <col min="8" max="8" width="9.85546875" style="167" bestFit="1" customWidth="1"/>
    <col min="9" max="10" width="9.85546875" style="167" customWidth="1"/>
    <col min="11" max="11" width="17.140625" style="167" bestFit="1" customWidth="1"/>
    <col min="12" max="14" width="9.28515625" style="167" bestFit="1" customWidth="1"/>
    <col min="15" max="16384" width="9.140625" style="167"/>
  </cols>
  <sheetData>
    <row r="1" spans="1:14" s="234" customFormat="1" x14ac:dyDescent="0.2">
      <c r="A1" s="709" t="s">
        <v>550</v>
      </c>
      <c r="B1" s="707"/>
      <c r="C1" s="707" t="s">
        <v>0</v>
      </c>
      <c r="D1" s="707" t="s">
        <v>1</v>
      </c>
      <c r="E1" s="705" t="s">
        <v>376</v>
      </c>
      <c r="F1" s="705" t="s">
        <v>378</v>
      </c>
      <c r="G1" s="705" t="s">
        <v>377</v>
      </c>
      <c r="H1" s="309">
        <v>2019</v>
      </c>
      <c r="I1" s="243"/>
      <c r="J1" s="243"/>
      <c r="K1" s="244" t="s">
        <v>1092</v>
      </c>
      <c r="L1" s="553">
        <v>1.0324</v>
      </c>
      <c r="M1" s="245"/>
    </row>
    <row r="2" spans="1:14" s="236" customFormat="1" x14ac:dyDescent="0.2">
      <c r="A2" s="708"/>
      <c r="B2" s="708"/>
      <c r="C2" s="708"/>
      <c r="D2" s="710"/>
      <c r="E2" s="706"/>
      <c r="F2" s="706"/>
      <c r="G2" s="706"/>
      <c r="H2" s="308"/>
      <c r="I2" s="246"/>
      <c r="J2" s="246"/>
      <c r="K2" s="247"/>
      <c r="L2" s="235" t="s">
        <v>461</v>
      </c>
      <c r="M2" s="235" t="s">
        <v>462</v>
      </c>
      <c r="N2" s="236" t="s">
        <v>377</v>
      </c>
    </row>
    <row r="3" spans="1:14" x14ac:dyDescent="0.2">
      <c r="A3" s="163" t="s">
        <v>61</v>
      </c>
      <c r="C3" s="248" t="s">
        <v>180</v>
      </c>
      <c r="D3" s="165" t="s">
        <v>772</v>
      </c>
      <c r="E3" s="238">
        <f>E4/12</f>
        <v>2080</v>
      </c>
      <c r="F3" s="238">
        <f>F4/12</f>
        <v>2308.4933333333333</v>
      </c>
      <c r="G3" s="238">
        <f>G4/12</f>
        <v>2536.9866666666667</v>
      </c>
      <c r="H3" s="167" t="s">
        <v>10</v>
      </c>
      <c r="K3" s="182" t="s">
        <v>455</v>
      </c>
      <c r="L3" s="183">
        <f>(F3-E3)/E3</f>
        <v>0.10985256410256411</v>
      </c>
      <c r="M3" s="183">
        <f>(G3-F3)/F3</f>
        <v>9.8979420921004757E-2</v>
      </c>
    </row>
    <row r="4" spans="1:14" x14ac:dyDescent="0.2">
      <c r="C4" s="392" t="s">
        <v>1005</v>
      </c>
      <c r="D4" s="167" t="s">
        <v>1001</v>
      </c>
      <c r="E4" s="249">
        <f>E5*2080</f>
        <v>24960</v>
      </c>
      <c r="F4" s="170">
        <f>(E4+G4)/2</f>
        <v>27701.919999999998</v>
      </c>
      <c r="G4" s="249">
        <f>ROUND(29488.413*$L$1,2)</f>
        <v>30443.84</v>
      </c>
      <c r="H4" s="167" t="s">
        <v>520</v>
      </c>
      <c r="K4" s="182" t="s">
        <v>456</v>
      </c>
      <c r="L4" s="183">
        <f>(G3-E3)/E3</f>
        <v>0.21970512820512822</v>
      </c>
    </row>
    <row r="5" spans="1:14" x14ac:dyDescent="0.2">
      <c r="E5" s="166">
        <v>12</v>
      </c>
      <c r="F5" s="166">
        <f>F4/2080</f>
        <v>13.318230769230768</v>
      </c>
      <c r="G5" s="166">
        <f>G4/2080</f>
        <v>14.636461538461539</v>
      </c>
      <c r="H5" s="167" t="s">
        <v>11</v>
      </c>
      <c r="K5" s="182" t="s">
        <v>457</v>
      </c>
      <c r="L5" s="183">
        <f>(E283-E3)/E3</f>
        <v>-0.21941347883946066</v>
      </c>
      <c r="M5" s="183">
        <f>(F283-F3)/F3</f>
        <v>-0.16301879267005689</v>
      </c>
      <c r="N5" s="183">
        <f>(G283-G3)/G3</f>
        <v>-0.11678246483531872</v>
      </c>
    </row>
    <row r="6" spans="1:14" x14ac:dyDescent="0.2">
      <c r="E6" s="250"/>
      <c r="F6" s="251"/>
      <c r="G6" s="250"/>
    </row>
    <row r="7" spans="1:14" x14ac:dyDescent="0.2">
      <c r="A7" s="179" t="s">
        <v>173</v>
      </c>
      <c r="C7" s="164" t="s">
        <v>181</v>
      </c>
      <c r="D7" s="167" t="s">
        <v>179</v>
      </c>
      <c r="E7" s="238">
        <f>E8/12</f>
        <v>2472.3933333333334</v>
      </c>
      <c r="F7" s="238">
        <f>F8/12</f>
        <v>2943.7837500000001</v>
      </c>
      <c r="G7" s="238">
        <f>G8/12</f>
        <v>3415.1741666666662</v>
      </c>
      <c r="H7" s="167" t="s">
        <v>10</v>
      </c>
      <c r="K7" s="182" t="s">
        <v>455</v>
      </c>
      <c r="L7" s="183">
        <f>(F7-E7)/E7</f>
        <v>0.19066157892891905</v>
      </c>
      <c r="M7" s="183">
        <f>(G7-F7)/F7</f>
        <v>0.16013078972484515</v>
      </c>
    </row>
    <row r="8" spans="1:14" x14ac:dyDescent="0.2">
      <c r="E8" s="249">
        <f>ROUND(28737.624*$L$1,2)</f>
        <v>29668.720000000001</v>
      </c>
      <c r="F8" s="170">
        <f>(E8+G8)/2</f>
        <v>35325.404999999999</v>
      </c>
      <c r="G8" s="249">
        <f>ROUND(39695.941*$L$1,2)</f>
        <v>40982.089999999997</v>
      </c>
      <c r="H8" s="167" t="s">
        <v>520</v>
      </c>
      <c r="K8" s="182" t="s">
        <v>456</v>
      </c>
      <c r="L8" s="183">
        <f>(G7-E7)/E7</f>
        <v>0.38132315785783794</v>
      </c>
    </row>
    <row r="9" spans="1:14" x14ac:dyDescent="0.2">
      <c r="C9" s="179"/>
      <c r="E9" s="166">
        <f>E8/2080</f>
        <v>14.263807692307694</v>
      </c>
      <c r="F9" s="166">
        <f>F8/2080</f>
        <v>16.983367788461539</v>
      </c>
      <c r="G9" s="166">
        <f>G8/2080</f>
        <v>19.702927884615384</v>
      </c>
      <c r="H9" s="167" t="s">
        <v>11</v>
      </c>
      <c r="K9" s="182" t="s">
        <v>457</v>
      </c>
      <c r="L9" s="183">
        <f>(E11-E7)/E7</f>
        <v>5.1139718868896261E-2</v>
      </c>
      <c r="M9" s="183">
        <f>(F11-F7)/F7</f>
        <v>5.0887031585342142E-2</v>
      </c>
      <c r="N9" s="183">
        <f>(G11-G7)/G7</f>
        <v>5.0704100254525979E-2</v>
      </c>
    </row>
    <row r="10" spans="1:14" x14ac:dyDescent="0.2">
      <c r="E10" s="250"/>
      <c r="F10" s="251"/>
      <c r="G10" s="250"/>
    </row>
    <row r="11" spans="1:14" x14ac:dyDescent="0.2">
      <c r="A11" s="179" t="s">
        <v>174</v>
      </c>
      <c r="C11" s="248" t="s">
        <v>183</v>
      </c>
      <c r="D11" s="167" t="s">
        <v>21</v>
      </c>
      <c r="E11" s="238">
        <f>E12/12</f>
        <v>2598.8308333333334</v>
      </c>
      <c r="F11" s="238">
        <f>F12/12</f>
        <v>3093.584166666667</v>
      </c>
      <c r="G11" s="238">
        <f>G12/12</f>
        <v>3588.3375000000001</v>
      </c>
      <c r="H11" s="167" t="s">
        <v>10</v>
      </c>
      <c r="K11" s="182" t="s">
        <v>455</v>
      </c>
      <c r="L11" s="183">
        <f>(F11-E11)/E11</f>
        <v>0.19037535148016888</v>
      </c>
      <c r="M11" s="183">
        <f>(G11-F11)/F11</f>
        <v>0.15992884197698398</v>
      </c>
    </row>
    <row r="12" spans="1:14" x14ac:dyDescent="0.2">
      <c r="C12" s="248"/>
      <c r="E12" s="249">
        <f>ROUND(30207.256*$L$1,2)</f>
        <v>31185.97</v>
      </c>
      <c r="F12" s="170">
        <f>(E12+G12)/2</f>
        <v>37123.01</v>
      </c>
      <c r="G12" s="249">
        <f>ROUND(41708.689*$L$1,2)</f>
        <v>43060.05</v>
      </c>
      <c r="H12" s="167" t="s">
        <v>520</v>
      </c>
      <c r="K12" s="182" t="s">
        <v>456</v>
      </c>
      <c r="L12" s="183">
        <f>(G11-E11)/E11</f>
        <v>0.38075070296033758</v>
      </c>
    </row>
    <row r="13" spans="1:14" x14ac:dyDescent="0.2">
      <c r="E13" s="166">
        <f>E12/2080</f>
        <v>14.993254807692308</v>
      </c>
      <c r="F13" s="166">
        <f>F12/2080</f>
        <v>17.847600961538461</v>
      </c>
      <c r="G13" s="166">
        <f>G12/2080</f>
        <v>20.701947115384616</v>
      </c>
      <c r="H13" s="167" t="s">
        <v>11</v>
      </c>
      <c r="K13" s="182" t="s">
        <v>457</v>
      </c>
      <c r="L13" s="183">
        <f>(E15-E11)/E11</f>
        <v>5.1824265847751537E-2</v>
      </c>
      <c r="M13" s="183">
        <f>(F15-F11)/F11</f>
        <v>5.0866430281380604E-2</v>
      </c>
      <c r="N13" s="183">
        <f>(G15-G11)/G11</f>
        <v>5.0172723905336773E-2</v>
      </c>
    </row>
    <row r="14" spans="1:14" x14ac:dyDescent="0.2">
      <c r="E14" s="250"/>
      <c r="G14" s="250"/>
    </row>
    <row r="15" spans="1:14" x14ac:dyDescent="0.2">
      <c r="A15" s="179" t="s">
        <v>175</v>
      </c>
      <c r="C15" s="248" t="s">
        <v>184</v>
      </c>
      <c r="D15" s="165" t="s">
        <v>773</v>
      </c>
      <c r="E15" s="238">
        <f>E16/12</f>
        <v>2733.5133333333338</v>
      </c>
      <c r="F15" s="238">
        <f>F16/12</f>
        <v>3250.9437499999999</v>
      </c>
      <c r="G15" s="238">
        <f>G16/12</f>
        <v>3768.3741666666665</v>
      </c>
      <c r="H15" s="167" t="s">
        <v>10</v>
      </c>
      <c r="K15" s="182" t="s">
        <v>455</v>
      </c>
      <c r="L15" s="183">
        <f>(F15-E15)/E15</f>
        <v>0.18929134544798246</v>
      </c>
      <c r="M15" s="183">
        <f>(G15-F15)/F15</f>
        <v>0.15916314044703683</v>
      </c>
    </row>
    <row r="16" spans="1:14" x14ac:dyDescent="0.2">
      <c r="C16" s="179"/>
      <c r="E16" s="249">
        <f>ROUND(31772.728*$L$1,2)</f>
        <v>32802.160000000003</v>
      </c>
      <c r="F16" s="170">
        <f>(E16+G16)/2</f>
        <v>39011.324999999997</v>
      </c>
      <c r="G16" s="249">
        <f>ROUND(43801.325*$L$1,2)</f>
        <v>45220.49</v>
      </c>
      <c r="H16" s="167" t="s">
        <v>520</v>
      </c>
      <c r="K16" s="182" t="s">
        <v>456</v>
      </c>
      <c r="L16" s="183">
        <f>(G15-E15)/E15</f>
        <v>0.37858269089596508</v>
      </c>
    </row>
    <row r="17" spans="1:14" x14ac:dyDescent="0.2">
      <c r="C17" s="179"/>
      <c r="E17" s="166">
        <f>E16/2080</f>
        <v>15.770269230769232</v>
      </c>
      <c r="F17" s="166">
        <f>F16/2080</f>
        <v>18.755444711538459</v>
      </c>
      <c r="G17" s="166">
        <f>G16/2080</f>
        <v>21.740620192307691</v>
      </c>
      <c r="H17" s="167" t="s">
        <v>11</v>
      </c>
      <c r="K17" s="182" t="s">
        <v>457</v>
      </c>
      <c r="L17" s="183">
        <f>(E19-E15)/E15</f>
        <v>5.0276872010867363E-2</v>
      </c>
      <c r="M17" s="183">
        <f>(F19-F15)/F15</f>
        <v>5.0729243367150331E-2</v>
      </c>
      <c r="N17" s="183">
        <f>(G19-G15)/G15</f>
        <v>5.1057385711654253E-2</v>
      </c>
    </row>
    <row r="18" spans="1:14" x14ac:dyDescent="0.2">
      <c r="E18" s="250"/>
      <c r="G18" s="250"/>
    </row>
    <row r="19" spans="1:14" x14ac:dyDescent="0.2">
      <c r="A19" s="179" t="s">
        <v>172</v>
      </c>
      <c r="C19" s="248" t="s">
        <v>185</v>
      </c>
      <c r="D19" s="252" t="s">
        <v>176</v>
      </c>
      <c r="E19" s="238">
        <f>E20/12</f>
        <v>2870.9458333333332</v>
      </c>
      <c r="F19" s="238">
        <f>F20/12</f>
        <v>3415.8616666666662</v>
      </c>
      <c r="G19" s="238">
        <f>G20/12</f>
        <v>3960.7775000000001</v>
      </c>
      <c r="H19" s="167" t="s">
        <v>10</v>
      </c>
      <c r="K19" s="182" t="s">
        <v>455</v>
      </c>
      <c r="L19" s="183">
        <f>(F19-E19)/E19</f>
        <v>0.18980359260232171</v>
      </c>
      <c r="M19" s="183">
        <f>(G19-F19)/F19</f>
        <v>0.15952514665650511</v>
      </c>
    </row>
    <row r="20" spans="1:14" x14ac:dyDescent="0.2">
      <c r="E20" s="249">
        <f>ROUND(33370.156*$L$1,2)</f>
        <v>34451.35</v>
      </c>
      <c r="F20" s="170">
        <f>(E20+G20)/2</f>
        <v>40990.339999999997</v>
      </c>
      <c r="G20" s="249">
        <f>ROUND(46037.712*$L$1,2)</f>
        <v>47529.33</v>
      </c>
      <c r="H20" s="167" t="s">
        <v>520</v>
      </c>
      <c r="K20" s="182" t="s">
        <v>456</v>
      </c>
      <c r="L20" s="183">
        <f>(G19-E19)/E19</f>
        <v>0.37960718520464376</v>
      </c>
    </row>
    <row r="21" spans="1:14" x14ac:dyDescent="0.2">
      <c r="D21" s="253"/>
      <c r="E21" s="166">
        <f>E20/2080</f>
        <v>16.563149038461539</v>
      </c>
      <c r="F21" s="166">
        <f>F20/2080</f>
        <v>19.70689423076923</v>
      </c>
      <c r="G21" s="166">
        <f>G20/2080</f>
        <v>22.850639423076924</v>
      </c>
      <c r="H21" s="167" t="s">
        <v>11</v>
      </c>
      <c r="K21" s="182" t="s">
        <v>457</v>
      </c>
      <c r="L21" s="183">
        <f>(E303-E19)/E19</f>
        <v>-0.11688007572288248</v>
      </c>
      <c r="M21" s="183">
        <f>(F303-F19)/F19</f>
        <v>-0.11651777939395998</v>
      </c>
      <c r="N21" s="183">
        <f>(G303-G19)/G19</f>
        <v>-0.11625517107123758</v>
      </c>
    </row>
    <row r="22" spans="1:14" x14ac:dyDescent="0.2">
      <c r="C22" s="179"/>
      <c r="E22" s="250"/>
      <c r="G22" s="250"/>
    </row>
    <row r="23" spans="1:14" x14ac:dyDescent="0.2">
      <c r="A23" s="179" t="s">
        <v>62</v>
      </c>
      <c r="C23" s="248" t="s">
        <v>186</v>
      </c>
      <c r="D23" s="167" t="s">
        <v>93</v>
      </c>
      <c r="E23" s="238">
        <f>E24/12</f>
        <v>3329.9675000000002</v>
      </c>
      <c r="F23" s="238">
        <f>F24/12</f>
        <v>3963.5266666666666</v>
      </c>
      <c r="G23" s="238">
        <f>G24/12</f>
        <v>4597.0858333333335</v>
      </c>
      <c r="H23" s="167" t="s">
        <v>10</v>
      </c>
      <c r="K23" s="182" t="s">
        <v>455</v>
      </c>
      <c r="L23" s="183">
        <f>(F23-E23)/E23</f>
        <v>0.19025986489858127</v>
      </c>
      <c r="M23" s="183">
        <f>(G23-F23)/F23</f>
        <v>0.15984733293077383</v>
      </c>
    </row>
    <row r="24" spans="1:14" x14ac:dyDescent="0.2">
      <c r="C24" s="248"/>
      <c r="E24" s="249">
        <f>ROUND(38705.547*$L$1,2)</f>
        <v>39959.61</v>
      </c>
      <c r="F24" s="170">
        <f>(E24+G24)/2</f>
        <v>47562.32</v>
      </c>
      <c r="G24" s="249">
        <f>ROUND(53433.776*$L$1,2)</f>
        <v>55165.03</v>
      </c>
      <c r="H24" s="167" t="s">
        <v>520</v>
      </c>
      <c r="K24" s="182" t="s">
        <v>456</v>
      </c>
      <c r="L24" s="183">
        <f>(G23-E23)/E23</f>
        <v>0.38051972979716264</v>
      </c>
    </row>
    <row r="25" spans="1:14" x14ac:dyDescent="0.2">
      <c r="C25" s="179"/>
      <c r="E25" s="166">
        <f>E24/2080</f>
        <v>19.211350961538461</v>
      </c>
      <c r="F25" s="166">
        <f>F24/2080</f>
        <v>22.866499999999998</v>
      </c>
      <c r="G25" s="166">
        <f>G24/2080</f>
        <v>26.521649038461536</v>
      </c>
      <c r="H25" s="167" t="s">
        <v>11</v>
      </c>
      <c r="K25" s="182" t="s">
        <v>457</v>
      </c>
      <c r="L25" s="183">
        <f>(E27-E23)/E23</f>
        <v>5.1175924890157772E-2</v>
      </c>
      <c r="M25" s="183">
        <f>(F27-F23)/F23</f>
        <v>5.0797353871720401E-2</v>
      </c>
      <c r="N25" s="183">
        <f>(G27-G23)/G23</f>
        <v>5.0523130323685141E-2</v>
      </c>
    </row>
    <row r="26" spans="1:14" x14ac:dyDescent="0.2">
      <c r="C26" s="179"/>
      <c r="E26" s="250"/>
      <c r="G26" s="250"/>
    </row>
    <row r="27" spans="1:14" x14ac:dyDescent="0.2">
      <c r="A27" s="179" t="s">
        <v>92</v>
      </c>
      <c r="C27" s="248" t="s">
        <v>188</v>
      </c>
      <c r="D27" s="167" t="s">
        <v>22</v>
      </c>
      <c r="E27" s="238">
        <f>E28/12</f>
        <v>3500.3816666666667</v>
      </c>
      <c r="F27" s="238">
        <f>F28/12</f>
        <v>4164.8633333333337</v>
      </c>
      <c r="G27" s="238">
        <f>G28/12</f>
        <v>4829.3450000000003</v>
      </c>
      <c r="H27" s="167" t="s">
        <v>10</v>
      </c>
      <c r="K27" s="182" t="s">
        <v>455</v>
      </c>
      <c r="L27" s="183">
        <f>(F27-E27)/E27</f>
        <v>0.18983120412107451</v>
      </c>
      <c r="M27" s="183">
        <f>(G27-F27)/F27</f>
        <v>0.15954465092492026</v>
      </c>
    </row>
    <row r="28" spans="1:14" x14ac:dyDescent="0.2">
      <c r="C28" s="248" t="s">
        <v>182</v>
      </c>
      <c r="D28" s="252" t="s">
        <v>20</v>
      </c>
      <c r="E28" s="249">
        <f>ROUND(40686.344*$L$1,2)</f>
        <v>42004.58</v>
      </c>
      <c r="F28" s="170">
        <f>(E28+G28)/2</f>
        <v>49978.36</v>
      </c>
      <c r="G28" s="249">
        <f>ROUND(56133.419*$L$1,2)</f>
        <v>57952.14</v>
      </c>
      <c r="H28" s="167" t="s">
        <v>520</v>
      </c>
      <c r="K28" s="182" t="s">
        <v>456</v>
      </c>
      <c r="L28" s="183">
        <f>(G27-E27)/E27</f>
        <v>0.37966240824214892</v>
      </c>
    </row>
    <row r="29" spans="1:14" x14ac:dyDescent="0.2">
      <c r="E29" s="166">
        <f>E28/2080</f>
        <v>20.194509615384618</v>
      </c>
      <c r="F29" s="166">
        <f>F28/2080</f>
        <v>24.028057692307694</v>
      </c>
      <c r="G29" s="166">
        <f>G28/2080</f>
        <v>27.861605769230771</v>
      </c>
      <c r="H29" s="167" t="s">
        <v>11</v>
      </c>
      <c r="K29" s="182" t="s">
        <v>457</v>
      </c>
      <c r="L29" s="183">
        <f>(E311-E27)/E27</f>
        <v>-0.11622638994780773</v>
      </c>
      <c r="M29" s="183">
        <f>(F311-F27)/F27</f>
        <v>-0.11613708342655966</v>
      </c>
      <c r="N29" s="183">
        <f>(G311-G27)/G27</f>
        <v>-0.11607235272090685</v>
      </c>
    </row>
    <row r="30" spans="1:14" x14ac:dyDescent="0.2">
      <c r="E30" s="250"/>
      <c r="G30" s="250"/>
    </row>
    <row r="31" spans="1:14" x14ac:dyDescent="0.2">
      <c r="A31" s="179" t="s">
        <v>63</v>
      </c>
      <c r="C31" s="248" t="s">
        <v>189</v>
      </c>
      <c r="D31" s="167" t="s">
        <v>94</v>
      </c>
      <c r="E31" s="238">
        <f>E32/12</f>
        <v>3864.5750000000003</v>
      </c>
      <c r="F31" s="238">
        <f>F32/12</f>
        <v>4599.8345833333333</v>
      </c>
      <c r="G31" s="238">
        <f>G32/12</f>
        <v>5335.0941666666668</v>
      </c>
      <c r="H31" s="167" t="s">
        <v>10</v>
      </c>
      <c r="K31" s="182" t="s">
        <v>455</v>
      </c>
      <c r="L31" s="183">
        <f>(F31-E31)/E31</f>
        <v>0.19025625931268844</v>
      </c>
      <c r="M31" s="183">
        <f>(G31-F31)/F31</f>
        <v>0.15984478789681117</v>
      </c>
    </row>
    <row r="32" spans="1:14" x14ac:dyDescent="0.2">
      <c r="C32" s="248" t="s">
        <v>190</v>
      </c>
      <c r="D32" s="167" t="s">
        <v>95</v>
      </c>
      <c r="E32" s="249">
        <f>ROUND(44919.51*$L$1,2)</f>
        <v>46374.9</v>
      </c>
      <c r="F32" s="170">
        <f>(E32+G32)/2</f>
        <v>55198.014999999999</v>
      </c>
      <c r="G32" s="249">
        <f>ROUND(62011.939*$L$1,2)</f>
        <v>64021.13</v>
      </c>
      <c r="H32" s="167" t="s">
        <v>520</v>
      </c>
      <c r="K32" s="182" t="s">
        <v>456</v>
      </c>
      <c r="L32" s="183">
        <f>(G31-E31)/E31</f>
        <v>0.38051251862537699</v>
      </c>
    </row>
    <row r="33" spans="1:14" x14ac:dyDescent="0.2">
      <c r="C33" s="164" t="s">
        <v>670</v>
      </c>
      <c r="D33" s="254" t="s">
        <v>671</v>
      </c>
      <c r="E33" s="166">
        <f>E32/2080</f>
        <v>22.295625000000001</v>
      </c>
      <c r="F33" s="166">
        <f>F32/2080</f>
        <v>26.537507211538461</v>
      </c>
      <c r="G33" s="166">
        <f>G32/2080</f>
        <v>30.779389423076921</v>
      </c>
      <c r="H33" s="167" t="s">
        <v>11</v>
      </c>
      <c r="K33" s="182" t="s">
        <v>457</v>
      </c>
      <c r="L33" s="183">
        <f>(E39-E31)/E31</f>
        <v>5.1209167027853421E-2</v>
      </c>
      <c r="M33" s="183">
        <f>(F39-F31)/F31</f>
        <v>5.0941143445103934E-2</v>
      </c>
      <c r="N33" s="183">
        <f>(G39-G31)/G31</f>
        <v>5.0746995562246364E-2</v>
      </c>
    </row>
    <row r="34" spans="1:14" x14ac:dyDescent="0.2">
      <c r="C34" s="164" t="s">
        <v>919</v>
      </c>
      <c r="D34" s="254" t="s">
        <v>920</v>
      </c>
      <c r="E34" s="166"/>
      <c r="F34" s="166"/>
      <c r="G34" s="166"/>
      <c r="K34" s="182"/>
      <c r="L34" s="183"/>
      <c r="M34" s="183"/>
      <c r="N34" s="183"/>
    </row>
    <row r="35" spans="1:14" x14ac:dyDescent="0.2">
      <c r="C35" s="163" t="s">
        <v>379</v>
      </c>
      <c r="D35" s="167" t="s">
        <v>380</v>
      </c>
      <c r="E35" s="255"/>
      <c r="F35" s="255"/>
      <c r="G35" s="255"/>
    </row>
    <row r="36" spans="1:14" x14ac:dyDescent="0.2">
      <c r="C36" s="248" t="s">
        <v>191</v>
      </c>
      <c r="D36" s="165" t="s">
        <v>96</v>
      </c>
      <c r="E36" s="250"/>
      <c r="G36" s="250"/>
    </row>
    <row r="37" spans="1:14" x14ac:dyDescent="0.2">
      <c r="C37" s="248" t="s">
        <v>187</v>
      </c>
      <c r="D37" s="165" t="s">
        <v>774</v>
      </c>
      <c r="E37" s="250"/>
      <c r="F37" s="251"/>
      <c r="G37" s="250"/>
    </row>
    <row r="38" spans="1:14" x14ac:dyDescent="0.2">
      <c r="E38" s="250"/>
      <c r="G38" s="250"/>
    </row>
    <row r="39" spans="1:14" x14ac:dyDescent="0.2">
      <c r="A39" s="163" t="s">
        <v>528</v>
      </c>
      <c r="C39" s="163" t="s">
        <v>789</v>
      </c>
      <c r="D39" s="167" t="s">
        <v>790</v>
      </c>
      <c r="E39" s="238">
        <f>E40/12</f>
        <v>4062.4766666666669</v>
      </c>
      <c r="F39" s="238">
        <f>F40/12</f>
        <v>4834.1554166666665</v>
      </c>
      <c r="G39" s="238">
        <f>G40/12</f>
        <v>5605.8341666666665</v>
      </c>
      <c r="H39" s="167" t="s">
        <v>10</v>
      </c>
      <c r="K39" s="182" t="s">
        <v>455</v>
      </c>
      <c r="L39" s="183">
        <f>(F39-E39)/E39</f>
        <v>0.18995278331855023</v>
      </c>
      <c r="M39" s="183">
        <f>(G39-F39)/F39</f>
        <v>0.15963052146389239</v>
      </c>
    </row>
    <row r="40" spans="1:14" x14ac:dyDescent="0.2">
      <c r="E40" s="249">
        <f>ROUND(47219.7997618646*$L$1,2)</f>
        <v>48749.72</v>
      </c>
      <c r="F40" s="170">
        <f>(E40+G40)/2</f>
        <v>58009.864999999998</v>
      </c>
      <c r="G40" s="249">
        <f>ROUND(65158.858486397*$L$1,2)</f>
        <v>67270.009999999995</v>
      </c>
      <c r="H40" s="167" t="s">
        <v>520</v>
      </c>
      <c r="K40" s="182" t="s">
        <v>456</v>
      </c>
      <c r="L40" s="183">
        <f>(G39-E39)/E39</f>
        <v>0.37990556663710057</v>
      </c>
    </row>
    <row r="41" spans="1:14" x14ac:dyDescent="0.2">
      <c r="E41" s="166">
        <f>E40/2080</f>
        <v>23.437365384615386</v>
      </c>
      <c r="F41" s="166">
        <f>F40/2080</f>
        <v>27.889358173076921</v>
      </c>
      <c r="G41" s="166">
        <f>G40/2080</f>
        <v>32.34135096153846</v>
      </c>
      <c r="H41" s="167" t="s">
        <v>11</v>
      </c>
      <c r="K41" s="182" t="s">
        <v>457</v>
      </c>
      <c r="L41" s="183">
        <f>(E43-E39)/E39</f>
        <v>5.0406033101318262E-2</v>
      </c>
      <c r="M41" s="183">
        <f>(F43-F39)/F39</f>
        <v>5.0461934362370904E-2</v>
      </c>
      <c r="N41" s="183">
        <f>(G43-G39)/G39</f>
        <v>5.0502445294716071E-2</v>
      </c>
    </row>
    <row r="43" spans="1:14" x14ac:dyDescent="0.2">
      <c r="A43" s="163" t="s">
        <v>64</v>
      </c>
      <c r="B43" s="163" t="s">
        <v>88</v>
      </c>
      <c r="C43" s="164" t="s">
        <v>673</v>
      </c>
      <c r="D43" s="254" t="s">
        <v>674</v>
      </c>
      <c r="E43" s="238">
        <f>E44/12</f>
        <v>4267.25</v>
      </c>
      <c r="F43" s="238">
        <f>F44/12</f>
        <v>5078.0962499999996</v>
      </c>
      <c r="G43" s="238">
        <f>G44/12</f>
        <v>5888.9425000000001</v>
      </c>
      <c r="H43" s="167" t="s">
        <v>10</v>
      </c>
      <c r="K43" s="182" t="s">
        <v>455</v>
      </c>
      <c r="L43" s="183">
        <f>(F43-E43)/E43</f>
        <v>0.19001611107856339</v>
      </c>
      <c r="M43" s="183">
        <f>(G43-F43)/F43</f>
        <v>0.15967524246906517</v>
      </c>
    </row>
    <row r="44" spans="1:14" x14ac:dyDescent="0.2">
      <c r="C44" s="163" t="s">
        <v>615</v>
      </c>
      <c r="D44" s="167" t="s">
        <v>616</v>
      </c>
      <c r="E44" s="249">
        <f>ROUND(49599.9643761648*$L$1,2)</f>
        <v>51207</v>
      </c>
      <c r="F44" s="170">
        <f>(E44+G44)/2</f>
        <v>60937.154999999999</v>
      </c>
      <c r="G44" s="249">
        <f>ROUND(68449.540830944*$L$1,2)</f>
        <v>70667.31</v>
      </c>
      <c r="H44" s="167" t="s">
        <v>520</v>
      </c>
      <c r="K44" s="182" t="s">
        <v>456</v>
      </c>
      <c r="L44" s="183">
        <f>(G43-E43)/E43</f>
        <v>0.38003222215712695</v>
      </c>
    </row>
    <row r="45" spans="1:14" x14ac:dyDescent="0.2">
      <c r="C45" s="248" t="s">
        <v>193</v>
      </c>
      <c r="D45" s="167" t="s">
        <v>98</v>
      </c>
      <c r="E45" s="166">
        <f>E44/2080</f>
        <v>24.618749999999999</v>
      </c>
      <c r="F45" s="166">
        <f>F44/2080</f>
        <v>29.296709134615384</v>
      </c>
      <c r="G45" s="166">
        <f>G44/2080</f>
        <v>33.974668269230769</v>
      </c>
      <c r="H45" s="167" t="s">
        <v>11</v>
      </c>
      <c r="K45" s="182" t="s">
        <v>457</v>
      </c>
      <c r="L45" s="183">
        <f>(E48-E43)/E43</f>
        <v>5.1207842677758846E-2</v>
      </c>
      <c r="M45" s="183">
        <f>(F48-F43)/F43</f>
        <v>5.1014934976862672E-2</v>
      </c>
      <c r="N45" s="183">
        <f>(G48-G43)/G43</f>
        <v>5.087515005170009E-2</v>
      </c>
    </row>
    <row r="46" spans="1:14" x14ac:dyDescent="0.2">
      <c r="C46" s="164" t="s">
        <v>672</v>
      </c>
      <c r="D46" s="254" t="s">
        <v>879</v>
      </c>
      <c r="E46" s="255"/>
      <c r="F46" s="255"/>
      <c r="G46" s="255"/>
    </row>
    <row r="47" spans="1:14" x14ac:dyDescent="0.2">
      <c r="E47" s="250"/>
      <c r="G47" s="250"/>
    </row>
    <row r="48" spans="1:14" x14ac:dyDescent="0.2">
      <c r="A48" s="179" t="s">
        <v>99</v>
      </c>
      <c r="C48" s="163" t="s">
        <v>937</v>
      </c>
      <c r="D48" s="167" t="s">
        <v>938</v>
      </c>
      <c r="E48" s="238">
        <f>E49/12</f>
        <v>4485.7666666666664</v>
      </c>
      <c r="F48" s="238">
        <f>F49/12</f>
        <v>5337.1549999999997</v>
      </c>
      <c r="G48" s="238">
        <f>G49/12</f>
        <v>6188.543333333334</v>
      </c>
      <c r="H48" s="167" t="s">
        <v>10</v>
      </c>
      <c r="K48" s="182" t="s">
        <v>455</v>
      </c>
      <c r="L48" s="183">
        <f>(F48-E48)/E48</f>
        <v>0.18979773059974883</v>
      </c>
      <c r="M48" s="183">
        <f>(G48-F48)/F48</f>
        <v>0.15952100572933225</v>
      </c>
    </row>
    <row r="49" spans="1:14" x14ac:dyDescent="0.2">
      <c r="A49" s="179"/>
      <c r="C49" s="248" t="s">
        <v>194</v>
      </c>
      <c r="D49" s="167" t="s">
        <v>24</v>
      </c>
      <c r="E49" s="249">
        <f>ROUND(52139.868796405*$L$1,2)</f>
        <v>53829.2</v>
      </c>
      <c r="F49" s="170">
        <f>(E49+G49)/2</f>
        <v>64045.86</v>
      </c>
      <c r="G49" s="249">
        <f>ROUND(71931.9291340754*$L$1,2)</f>
        <v>74262.52</v>
      </c>
      <c r="H49" s="167" t="s">
        <v>520</v>
      </c>
      <c r="K49" s="182"/>
      <c r="L49" s="183"/>
      <c r="M49" s="183"/>
    </row>
    <row r="50" spans="1:14" s="256" customFormat="1" x14ac:dyDescent="0.2">
      <c r="A50" s="163"/>
      <c r="B50" s="163"/>
      <c r="C50" s="248" t="s">
        <v>905</v>
      </c>
      <c r="D50" s="167" t="s">
        <v>902</v>
      </c>
      <c r="E50" s="166">
        <f>E49/2080</f>
        <v>25.879423076923075</v>
      </c>
      <c r="F50" s="166">
        <f>F49/2080</f>
        <v>30.791278846153848</v>
      </c>
      <c r="G50" s="166">
        <f>G49/2080</f>
        <v>35.70313461538462</v>
      </c>
      <c r="H50" s="167" t="s">
        <v>11</v>
      </c>
      <c r="I50" s="167"/>
      <c r="J50" s="167"/>
      <c r="K50" s="182" t="s">
        <v>456</v>
      </c>
      <c r="L50" s="183">
        <f>(G48-E48)/E48</f>
        <v>0.37959546119949789</v>
      </c>
      <c r="M50" s="167"/>
      <c r="N50" s="167"/>
    </row>
    <row r="51" spans="1:14" x14ac:dyDescent="0.2">
      <c r="C51" s="248" t="s">
        <v>195</v>
      </c>
      <c r="D51" s="167" t="s">
        <v>100</v>
      </c>
      <c r="E51" s="167"/>
      <c r="F51" s="167"/>
      <c r="G51" s="167"/>
      <c r="K51" s="182" t="s">
        <v>457</v>
      </c>
      <c r="L51" s="183">
        <f>(E57-E48)/E48</f>
        <v>5.0551373603917503E-2</v>
      </c>
      <c r="M51" s="183">
        <f>(F57-F48)/F48</f>
        <v>5.0856214593730145E-2</v>
      </c>
    </row>
    <row r="52" spans="1:14" x14ac:dyDescent="0.2">
      <c r="C52" s="164" t="s">
        <v>675</v>
      </c>
      <c r="D52" s="167" t="s">
        <v>676</v>
      </c>
      <c r="E52" s="255"/>
      <c r="F52" s="255"/>
      <c r="G52" s="255"/>
      <c r="N52" s="183">
        <f>(G57-G48)/G48</f>
        <v>5.1077178636006262E-2</v>
      </c>
    </row>
    <row r="53" spans="1:14" x14ac:dyDescent="0.2">
      <c r="C53" s="248" t="s">
        <v>196</v>
      </c>
      <c r="D53" s="167" t="s">
        <v>101</v>
      </c>
      <c r="E53" s="250"/>
      <c r="G53" s="250"/>
      <c r="K53" s="182"/>
      <c r="L53" s="183"/>
      <c r="M53" s="183"/>
      <c r="N53" s="183"/>
    </row>
    <row r="54" spans="1:14" x14ac:dyDescent="0.2">
      <c r="C54" s="248" t="s">
        <v>192</v>
      </c>
      <c r="D54" s="167" t="s">
        <v>97</v>
      </c>
      <c r="E54" s="250"/>
      <c r="F54" s="251"/>
      <c r="G54" s="250"/>
      <c r="K54" s="182"/>
      <c r="L54" s="183"/>
      <c r="M54" s="183"/>
      <c r="N54" s="183"/>
    </row>
    <row r="55" spans="1:14" x14ac:dyDescent="0.2">
      <c r="C55" s="248" t="s">
        <v>593</v>
      </c>
      <c r="D55" s="167" t="s">
        <v>549</v>
      </c>
      <c r="E55" s="250"/>
      <c r="F55" s="251"/>
      <c r="G55" s="250"/>
      <c r="K55" s="182"/>
      <c r="L55" s="183"/>
      <c r="M55" s="183"/>
      <c r="N55" s="183"/>
    </row>
    <row r="56" spans="1:14" x14ac:dyDescent="0.2">
      <c r="C56" s="248"/>
      <c r="E56" s="250"/>
      <c r="G56" s="250"/>
    </row>
    <row r="57" spans="1:14" x14ac:dyDescent="0.2">
      <c r="A57" s="179" t="s">
        <v>102</v>
      </c>
      <c r="C57" s="164" t="s">
        <v>677</v>
      </c>
      <c r="D57" s="254" t="s">
        <v>678</v>
      </c>
      <c r="E57" s="238">
        <f>E58/12</f>
        <v>4712.5283333333327</v>
      </c>
      <c r="F57" s="238">
        <f>F58/12</f>
        <v>5608.5824999999995</v>
      </c>
      <c r="G57" s="238">
        <f>G58/12</f>
        <v>6504.6366666666663</v>
      </c>
      <c r="H57" s="167" t="s">
        <v>10</v>
      </c>
      <c r="K57" s="182" t="s">
        <v>455</v>
      </c>
      <c r="L57" s="183">
        <f>(F57-E57)/E57</f>
        <v>0.19014297703603555</v>
      </c>
      <c r="M57" s="183">
        <f>(G57-F57)/F57</f>
        <v>0.15976481876956733</v>
      </c>
    </row>
    <row r="58" spans="1:14" x14ac:dyDescent="0.2">
      <c r="A58" s="179"/>
      <c r="C58" s="164" t="s">
        <v>679</v>
      </c>
      <c r="D58" s="254" t="s">
        <v>680</v>
      </c>
      <c r="E58" s="249">
        <f>ROUND(54775.6146955914*$L$1,2)</f>
        <v>56550.34</v>
      </c>
      <c r="F58" s="170">
        <f>(E58+G58)/2</f>
        <v>67302.989999999991</v>
      </c>
      <c r="G58" s="249">
        <f>ROUND(75606.0006041964*$L$1,2)</f>
        <v>78055.64</v>
      </c>
      <c r="H58" s="167" t="s">
        <v>520</v>
      </c>
      <c r="K58" s="182" t="s">
        <v>456</v>
      </c>
      <c r="L58" s="183">
        <f>(G57-E57)/E57</f>
        <v>0.38028595407207111</v>
      </c>
    </row>
    <row r="59" spans="1:14" x14ac:dyDescent="0.2">
      <c r="A59" s="179"/>
      <c r="C59" s="164" t="s">
        <v>681</v>
      </c>
      <c r="D59" s="254" t="s">
        <v>682</v>
      </c>
      <c r="E59" s="166">
        <f>E58/2080</f>
        <v>27.18766346153846</v>
      </c>
      <c r="F59" s="166">
        <f>F58/2080</f>
        <v>32.357206730769228</v>
      </c>
      <c r="G59" s="166">
        <f>G58/2080</f>
        <v>37.52675</v>
      </c>
      <c r="H59" s="167" t="s">
        <v>11</v>
      </c>
      <c r="K59" s="182" t="s">
        <v>457</v>
      </c>
      <c r="L59" s="183">
        <f>(E64-E57)/E57</f>
        <v>5.1035236923421018E-2</v>
      </c>
      <c r="M59" s="183">
        <f>(F64-F57)/F57</f>
        <v>5.0845289340042711E-2</v>
      </c>
      <c r="N59" s="183">
        <f>(G64-G57)/G57</f>
        <v>5.0707674679241775E-2</v>
      </c>
    </row>
    <row r="60" spans="1:14" x14ac:dyDescent="0.2">
      <c r="C60" s="248" t="s">
        <v>198</v>
      </c>
      <c r="D60" s="167" t="s">
        <v>103</v>
      </c>
      <c r="E60" s="250"/>
      <c r="F60" s="166"/>
      <c r="G60" s="250"/>
      <c r="K60" s="182"/>
      <c r="L60" s="183"/>
      <c r="M60" s="183"/>
      <c r="N60" s="183"/>
    </row>
    <row r="61" spans="1:14" x14ac:dyDescent="0.2">
      <c r="C61" s="248" t="s">
        <v>200</v>
      </c>
      <c r="D61" s="165" t="s">
        <v>594</v>
      </c>
      <c r="E61" s="250"/>
      <c r="F61" s="251"/>
      <c r="G61" s="250"/>
      <c r="I61" s="439"/>
    </row>
    <row r="62" spans="1:14" x14ac:dyDescent="0.2">
      <c r="C62" s="248" t="s">
        <v>199</v>
      </c>
      <c r="D62" s="167" t="s">
        <v>104</v>
      </c>
      <c r="E62" s="255"/>
      <c r="F62" s="255"/>
      <c r="G62" s="255"/>
    </row>
    <row r="63" spans="1:14" x14ac:dyDescent="0.2">
      <c r="C63" s="248"/>
      <c r="E63" s="250"/>
      <c r="F63" s="251"/>
      <c r="G63" s="250"/>
    </row>
    <row r="64" spans="1:14" x14ac:dyDescent="0.2">
      <c r="A64" s="179" t="s">
        <v>65</v>
      </c>
      <c r="C64" s="248" t="s">
        <v>201</v>
      </c>
      <c r="D64" s="167" t="s">
        <v>105</v>
      </c>
      <c r="E64" s="238">
        <f>E65/12</f>
        <v>4953.0333333333338</v>
      </c>
      <c r="F64" s="238">
        <f>F65/12</f>
        <v>5893.7524999999996</v>
      </c>
      <c r="G64" s="238">
        <f>G65/12</f>
        <v>6834.4716666666673</v>
      </c>
      <c r="H64" s="167" t="s">
        <v>10</v>
      </c>
      <c r="K64" s="182" t="s">
        <v>455</v>
      </c>
      <c r="L64" s="183">
        <f>(F64-E64)/E64</f>
        <v>0.1899278893068892</v>
      </c>
      <c r="M64" s="183">
        <f>(G64-F64)/F64</f>
        <v>0.15961294042575894</v>
      </c>
    </row>
    <row r="65" spans="1:14" x14ac:dyDescent="0.2">
      <c r="C65" s="248" t="s">
        <v>202</v>
      </c>
      <c r="D65" s="167" t="s">
        <v>106</v>
      </c>
      <c r="E65" s="249">
        <f>ROUND(57571.1002961692*$L$1,2)</f>
        <v>59436.4</v>
      </c>
      <c r="F65" s="170">
        <f>(E65+G65)/2</f>
        <v>70725.03</v>
      </c>
      <c r="G65" s="249">
        <f>ROUND(79439.8117757088*$L$1,2)</f>
        <v>82013.66</v>
      </c>
      <c r="H65" s="167" t="s">
        <v>520</v>
      </c>
      <c r="K65" s="182" t="s">
        <v>456</v>
      </c>
      <c r="L65" s="183">
        <f>(G64-E64)/E64</f>
        <v>0.37985577861377878</v>
      </c>
    </row>
    <row r="66" spans="1:14" x14ac:dyDescent="0.2">
      <c r="C66" s="248" t="s">
        <v>203</v>
      </c>
      <c r="D66" s="167" t="s">
        <v>23</v>
      </c>
      <c r="E66" s="166">
        <f>E65/2080</f>
        <v>28.575192307692308</v>
      </c>
      <c r="F66" s="166">
        <f>F65/2080</f>
        <v>34.002418269230766</v>
      </c>
      <c r="G66" s="166">
        <f>G65/2080</f>
        <v>39.429644230769235</v>
      </c>
      <c r="H66" s="167" t="s">
        <v>11</v>
      </c>
      <c r="K66" s="182" t="s">
        <v>457</v>
      </c>
      <c r="L66" s="183">
        <f>(E73-E64)/E64</f>
        <v>5.1054572618799247E-2</v>
      </c>
      <c r="M66" s="183">
        <f>(F73-F64)/F64</f>
        <v>5.1183506037395896E-2</v>
      </c>
      <c r="N66" s="183">
        <f>(G73-G64)/G64</f>
        <v>5.1276945816099408E-2</v>
      </c>
    </row>
    <row r="67" spans="1:14" x14ac:dyDescent="0.2">
      <c r="C67" s="248" t="s">
        <v>204</v>
      </c>
      <c r="D67" s="167" t="s">
        <v>107</v>
      </c>
      <c r="E67" s="250"/>
      <c r="G67" s="250"/>
    </row>
    <row r="68" spans="1:14" x14ac:dyDescent="0.2">
      <c r="C68" s="248" t="s">
        <v>206</v>
      </c>
      <c r="D68" s="167" t="s">
        <v>108</v>
      </c>
      <c r="E68" s="250"/>
      <c r="F68" s="251"/>
      <c r="G68" s="250"/>
    </row>
    <row r="69" spans="1:14" x14ac:dyDescent="0.2">
      <c r="C69" s="164" t="s">
        <v>833</v>
      </c>
      <c r="D69" s="167" t="s">
        <v>834</v>
      </c>
      <c r="E69" s="250"/>
      <c r="G69" s="250"/>
    </row>
    <row r="70" spans="1:14" x14ac:dyDescent="0.2">
      <c r="C70" s="248" t="s">
        <v>210</v>
      </c>
      <c r="D70" s="167" t="s">
        <v>111</v>
      </c>
      <c r="E70" s="250"/>
      <c r="G70" s="250"/>
    </row>
    <row r="71" spans="1:14" x14ac:dyDescent="0.2">
      <c r="A71" s="257"/>
      <c r="B71" s="257"/>
      <c r="C71" s="258" t="s">
        <v>197</v>
      </c>
      <c r="D71" s="259" t="s">
        <v>775</v>
      </c>
      <c r="E71" s="250"/>
      <c r="F71" s="260"/>
      <c r="G71" s="250"/>
      <c r="H71" s="256"/>
      <c r="I71" s="256"/>
      <c r="J71" s="256"/>
      <c r="K71" s="256"/>
      <c r="L71" s="256"/>
      <c r="M71" s="256"/>
      <c r="N71" s="256"/>
    </row>
    <row r="72" spans="1:14" x14ac:dyDescent="0.2">
      <c r="C72" s="248"/>
      <c r="E72" s="250"/>
      <c r="G72" s="250"/>
    </row>
    <row r="73" spans="1:14" x14ac:dyDescent="0.2">
      <c r="A73" s="179" t="s">
        <v>66</v>
      </c>
      <c r="B73" s="163" t="s">
        <v>88</v>
      </c>
      <c r="C73" s="248" t="s">
        <v>211</v>
      </c>
      <c r="D73" s="167" t="s">
        <v>112</v>
      </c>
      <c r="E73" s="238">
        <f>E74/12</f>
        <v>5205.9083333333338</v>
      </c>
      <c r="F73" s="238">
        <f>F74/12</f>
        <v>6195.4154166666667</v>
      </c>
      <c r="G73" s="238">
        <f>G74/12</f>
        <v>7184.9225000000006</v>
      </c>
      <c r="H73" s="167" t="s">
        <v>10</v>
      </c>
      <c r="K73" s="182" t="s">
        <v>455</v>
      </c>
      <c r="L73" s="183">
        <f>(F73-E73)/E73</f>
        <v>0.19007385838846558</v>
      </c>
      <c r="M73" s="183">
        <f>(G73-F73)/F73</f>
        <v>0.15971601850481248</v>
      </c>
    </row>
    <row r="74" spans="1:14" x14ac:dyDescent="0.2">
      <c r="C74" s="163" t="s">
        <v>413</v>
      </c>
      <c r="D74" s="167" t="s">
        <v>414</v>
      </c>
      <c r="E74" s="249">
        <f>ROUND(60510.3597723352*$L$1,2)</f>
        <v>62470.9</v>
      </c>
      <c r="F74" s="170">
        <f>(E74+G74)/2</f>
        <v>74344.985000000001</v>
      </c>
      <c r="G74" s="249">
        <f>ROUND(83513.2383017556*$L$1,2)</f>
        <v>86219.07</v>
      </c>
      <c r="H74" s="167" t="s">
        <v>520</v>
      </c>
      <c r="K74" s="182" t="s">
        <v>456</v>
      </c>
      <c r="L74" s="183">
        <f>(G73-E73)/E73</f>
        <v>0.38014771677693132</v>
      </c>
    </row>
    <row r="75" spans="1:14" x14ac:dyDescent="0.2">
      <c r="B75" s="163" t="s">
        <v>88</v>
      </c>
      <c r="C75" s="248" t="s">
        <v>208</v>
      </c>
      <c r="D75" s="165" t="s">
        <v>110</v>
      </c>
      <c r="E75" s="166">
        <f>E74/2080</f>
        <v>30.034086538461541</v>
      </c>
      <c r="F75" s="166">
        <f>F74/2080</f>
        <v>35.74278125</v>
      </c>
      <c r="G75" s="166">
        <f>G74/2080</f>
        <v>41.451475961538463</v>
      </c>
      <c r="H75" s="167" t="s">
        <v>11</v>
      </c>
    </row>
    <row r="76" spans="1:14" x14ac:dyDescent="0.2">
      <c r="B76" s="163" t="s">
        <v>88</v>
      </c>
      <c r="C76" s="248" t="s">
        <v>207</v>
      </c>
      <c r="D76" s="167" t="s">
        <v>109</v>
      </c>
      <c r="E76" s="250"/>
      <c r="G76" s="250"/>
    </row>
    <row r="77" spans="1:14" x14ac:dyDescent="0.2">
      <c r="B77" s="163" t="s">
        <v>88</v>
      </c>
      <c r="C77" s="163" t="s">
        <v>407</v>
      </c>
      <c r="D77" s="167" t="s">
        <v>127</v>
      </c>
      <c r="E77" s="250"/>
      <c r="F77" s="251"/>
      <c r="G77" s="250"/>
      <c r="I77" s="439"/>
    </row>
    <row r="78" spans="1:14" x14ac:dyDescent="0.2">
      <c r="B78" s="163" t="s">
        <v>88</v>
      </c>
      <c r="C78" s="163" t="s">
        <v>382</v>
      </c>
      <c r="D78" s="252" t="s">
        <v>381</v>
      </c>
      <c r="E78" s="250"/>
      <c r="F78" s="251"/>
      <c r="G78" s="250"/>
    </row>
    <row r="79" spans="1:14" x14ac:dyDescent="0.2">
      <c r="B79" s="163" t="s">
        <v>88</v>
      </c>
      <c r="C79" s="248" t="s">
        <v>212</v>
      </c>
      <c r="D79" s="165" t="s">
        <v>399</v>
      </c>
      <c r="E79" s="250"/>
      <c r="G79" s="250"/>
    </row>
    <row r="80" spans="1:14" x14ac:dyDescent="0.2">
      <c r="C80" s="164" t="s">
        <v>684</v>
      </c>
      <c r="D80" s="167" t="s">
        <v>683</v>
      </c>
      <c r="E80" s="250"/>
      <c r="G80" s="250"/>
    </row>
    <row r="81" spans="1:14" x14ac:dyDescent="0.2">
      <c r="B81" s="163" t="s">
        <v>88</v>
      </c>
      <c r="C81" s="164" t="s">
        <v>685</v>
      </c>
      <c r="D81" s="167" t="s">
        <v>686</v>
      </c>
      <c r="E81" s="250"/>
      <c r="G81" s="250"/>
    </row>
    <row r="82" spans="1:14" x14ac:dyDescent="0.2">
      <c r="C82" s="248" t="s">
        <v>209</v>
      </c>
      <c r="D82" s="167" t="s">
        <v>26</v>
      </c>
      <c r="E82" s="250"/>
      <c r="G82" s="250"/>
    </row>
    <row r="83" spans="1:14" x14ac:dyDescent="0.2">
      <c r="A83" s="420"/>
      <c r="B83" s="163" t="s">
        <v>88</v>
      </c>
      <c r="C83" s="248" t="s">
        <v>240</v>
      </c>
      <c r="D83" s="252" t="s">
        <v>113</v>
      </c>
      <c r="E83" s="421"/>
      <c r="G83" s="421"/>
    </row>
    <row r="84" spans="1:14" x14ac:dyDescent="0.2">
      <c r="A84" s="420"/>
      <c r="C84" s="164" t="s">
        <v>769</v>
      </c>
      <c r="D84" s="252" t="s">
        <v>894</v>
      </c>
      <c r="E84" s="421"/>
      <c r="G84" s="421"/>
    </row>
    <row r="85" spans="1:14" x14ac:dyDescent="0.2">
      <c r="C85" s="248"/>
      <c r="D85" s="252"/>
      <c r="E85" s="250"/>
      <c r="G85" s="250"/>
    </row>
    <row r="86" spans="1:14" x14ac:dyDescent="0.2">
      <c r="A86" s="179" t="s">
        <v>67</v>
      </c>
      <c r="B86" s="163" t="s">
        <v>88</v>
      </c>
      <c r="C86" s="248" t="s">
        <v>215</v>
      </c>
      <c r="D86" s="167" t="s">
        <v>114</v>
      </c>
      <c r="E86" s="238">
        <f>E87/12</f>
        <v>5469.7758333333331</v>
      </c>
      <c r="F86" s="238">
        <f>F87/12</f>
        <v>6508.7583333333341</v>
      </c>
      <c r="G86" s="238">
        <f>G87/12</f>
        <v>7547.7408333333333</v>
      </c>
      <c r="H86" s="167" t="s">
        <v>10</v>
      </c>
      <c r="K86" s="182" t="s">
        <v>455</v>
      </c>
      <c r="L86" s="183">
        <f>(F86-E86)/E86</f>
        <v>0.18994974047534874</v>
      </c>
      <c r="M86" s="183">
        <f>(G86-F86)/F86</f>
        <v>0.15962837253905299</v>
      </c>
    </row>
    <row r="87" spans="1:14" x14ac:dyDescent="0.2">
      <c r="B87" s="163" t="s">
        <v>88</v>
      </c>
      <c r="C87" s="163" t="s">
        <v>787</v>
      </c>
      <c r="D87" s="167" t="s">
        <v>788</v>
      </c>
      <c r="E87" s="249">
        <f>ROUND(63577.404088497*$L$1,2)</f>
        <v>65637.31</v>
      </c>
      <c r="F87" s="170">
        <f>(E87+G87)/2</f>
        <v>78105.100000000006</v>
      </c>
      <c r="G87" s="249">
        <f>ROUND(87730.427098496*$L$1,2)</f>
        <v>90572.89</v>
      </c>
      <c r="H87" s="167" t="s">
        <v>520</v>
      </c>
      <c r="K87" s="182" t="s">
        <v>456</v>
      </c>
      <c r="L87" s="183">
        <f>(G86-E86)/E86</f>
        <v>0.37989948095069714</v>
      </c>
    </row>
    <row r="88" spans="1:14" x14ac:dyDescent="0.2">
      <c r="B88" s="163" t="s">
        <v>88</v>
      </c>
      <c r="C88" s="248" t="s">
        <v>205</v>
      </c>
      <c r="D88" s="165" t="s">
        <v>489</v>
      </c>
      <c r="E88" s="166">
        <f>E87/2080</f>
        <v>31.556399038461539</v>
      </c>
      <c r="F88" s="166">
        <f>F87/2080</f>
        <v>37.550528846153846</v>
      </c>
      <c r="G88" s="166">
        <f>G87/2080</f>
        <v>43.544658653846156</v>
      </c>
      <c r="H88" s="167" t="s">
        <v>11</v>
      </c>
      <c r="K88" s="182" t="s">
        <v>457</v>
      </c>
      <c r="L88" s="183">
        <f>(E106-E86)/E86</f>
        <v>5.100513716969815E-2</v>
      </c>
      <c r="M88" s="183">
        <f>(F106-F86)/F86</f>
        <v>5.0992508811844424E-2</v>
      </c>
      <c r="N88" s="183">
        <f>(G106-G86)/G86</f>
        <v>5.0983357161287476E-2</v>
      </c>
    </row>
    <row r="89" spans="1:14" x14ac:dyDescent="0.2">
      <c r="B89" s="163" t="s">
        <v>88</v>
      </c>
      <c r="C89" s="248" t="s">
        <v>216</v>
      </c>
      <c r="D89" s="165" t="s">
        <v>490</v>
      </c>
      <c r="E89" s="250"/>
      <c r="G89" s="250"/>
    </row>
    <row r="90" spans="1:14" x14ac:dyDescent="0.2">
      <c r="B90" s="179" t="s">
        <v>88</v>
      </c>
      <c r="C90" s="248" t="s">
        <v>599</v>
      </c>
      <c r="D90" s="252" t="s">
        <v>600</v>
      </c>
      <c r="E90" s="250"/>
      <c r="G90" s="250"/>
    </row>
    <row r="91" spans="1:14" x14ac:dyDescent="0.2">
      <c r="B91" s="163" t="s">
        <v>88</v>
      </c>
      <c r="C91" s="248" t="s">
        <v>218</v>
      </c>
      <c r="D91" s="167" t="s">
        <v>115</v>
      </c>
      <c r="E91" s="250"/>
      <c r="G91" s="250"/>
    </row>
    <row r="92" spans="1:14" x14ac:dyDescent="0.2">
      <c r="C92" s="164" t="s">
        <v>688</v>
      </c>
      <c r="D92" s="167" t="s">
        <v>689</v>
      </c>
      <c r="E92" s="250"/>
      <c r="G92" s="250"/>
    </row>
    <row r="93" spans="1:14" x14ac:dyDescent="0.2">
      <c r="B93" s="163" t="s">
        <v>88</v>
      </c>
      <c r="C93" s="164" t="s">
        <v>690</v>
      </c>
      <c r="D93" s="254" t="s">
        <v>691</v>
      </c>
      <c r="E93" s="250"/>
      <c r="G93" s="250"/>
    </row>
    <row r="94" spans="1:14" x14ac:dyDescent="0.2">
      <c r="B94" s="163" t="s">
        <v>88</v>
      </c>
      <c r="C94" s="164" t="s">
        <v>692</v>
      </c>
      <c r="D94" s="254" t="s">
        <v>693</v>
      </c>
      <c r="E94" s="250"/>
      <c r="G94" s="250"/>
    </row>
    <row r="95" spans="1:14" x14ac:dyDescent="0.2">
      <c r="B95" s="163" t="s">
        <v>88</v>
      </c>
      <c r="C95" s="164" t="s">
        <v>694</v>
      </c>
      <c r="D95" s="254" t="s">
        <v>695</v>
      </c>
      <c r="E95" s="250"/>
      <c r="G95" s="250"/>
    </row>
    <row r="96" spans="1:14" x14ac:dyDescent="0.2">
      <c r="B96" s="163" t="s">
        <v>88</v>
      </c>
      <c r="C96" s="164" t="s">
        <v>792</v>
      </c>
      <c r="D96" s="254" t="s">
        <v>791</v>
      </c>
      <c r="E96" s="250"/>
      <c r="G96" s="250"/>
    </row>
    <row r="97" spans="1:14" x14ac:dyDescent="0.2">
      <c r="B97" s="163" t="s">
        <v>88</v>
      </c>
      <c r="C97" s="248" t="s">
        <v>219</v>
      </c>
      <c r="D97" s="167" t="s">
        <v>116</v>
      </c>
      <c r="E97" s="250"/>
      <c r="G97" s="250"/>
    </row>
    <row r="98" spans="1:14" x14ac:dyDescent="0.2">
      <c r="B98" s="163" t="s">
        <v>88</v>
      </c>
      <c r="C98" s="163" t="s">
        <v>961</v>
      </c>
      <c r="D98" s="167" t="s">
        <v>952</v>
      </c>
      <c r="E98" s="250"/>
      <c r="G98" s="250"/>
    </row>
    <row r="99" spans="1:14" x14ac:dyDescent="0.2">
      <c r="C99" s="248" t="s">
        <v>220</v>
      </c>
      <c r="D99" s="167" t="s">
        <v>117</v>
      </c>
      <c r="E99" s="250"/>
      <c r="G99" s="250"/>
    </row>
    <row r="100" spans="1:14" x14ac:dyDescent="0.2">
      <c r="B100" s="163" t="s">
        <v>88</v>
      </c>
      <c r="C100" s="248" t="s">
        <v>221</v>
      </c>
      <c r="D100" s="167" t="s">
        <v>118</v>
      </c>
      <c r="E100" s="250"/>
      <c r="G100" s="250"/>
    </row>
    <row r="101" spans="1:14" x14ac:dyDescent="0.2">
      <c r="B101" s="163" t="s">
        <v>88</v>
      </c>
      <c r="C101" s="248" t="s">
        <v>222</v>
      </c>
      <c r="D101" s="167" t="s">
        <v>119</v>
      </c>
      <c r="E101" s="250"/>
      <c r="G101" s="250"/>
    </row>
    <row r="102" spans="1:14" x14ac:dyDescent="0.2">
      <c r="C102" s="248" t="s">
        <v>214</v>
      </c>
      <c r="D102" s="165" t="s">
        <v>776</v>
      </c>
      <c r="E102" s="250"/>
      <c r="G102" s="250"/>
    </row>
    <row r="103" spans="1:14" x14ac:dyDescent="0.2">
      <c r="B103" s="163" t="s">
        <v>88</v>
      </c>
      <c r="C103" s="164" t="s">
        <v>687</v>
      </c>
      <c r="D103" s="167" t="s">
        <v>880</v>
      </c>
      <c r="E103" s="250"/>
      <c r="G103" s="250"/>
    </row>
    <row r="104" spans="1:14" x14ac:dyDescent="0.2">
      <c r="B104" s="163" t="s">
        <v>88</v>
      </c>
      <c r="C104" s="248" t="s">
        <v>223</v>
      </c>
      <c r="D104" s="167" t="s">
        <v>120</v>
      </c>
      <c r="E104" s="250"/>
      <c r="G104" s="250"/>
    </row>
    <row r="105" spans="1:14" x14ac:dyDescent="0.2">
      <c r="E105" s="250"/>
      <c r="G105" s="250"/>
    </row>
    <row r="106" spans="1:14" x14ac:dyDescent="0.2">
      <c r="A106" s="179" t="s">
        <v>68</v>
      </c>
      <c r="B106" s="163" t="s">
        <v>88</v>
      </c>
      <c r="C106" s="248" t="s">
        <v>224</v>
      </c>
      <c r="D106" s="167" t="s">
        <v>125</v>
      </c>
      <c r="E106" s="238">
        <f>E107/12</f>
        <v>5748.7624999999998</v>
      </c>
      <c r="F106" s="238">
        <f>F107/12</f>
        <v>6840.65625</v>
      </c>
      <c r="G106" s="238">
        <f>G107/12</f>
        <v>7932.55</v>
      </c>
      <c r="H106" s="167" t="s">
        <v>10</v>
      </c>
      <c r="K106" s="182" t="s">
        <v>455</v>
      </c>
      <c r="L106" s="183">
        <f>(F106-E106)/E106</f>
        <v>0.18993544262786996</v>
      </c>
      <c r="M106" s="183">
        <f>(G106-F106)/F106</f>
        <v>0.15961827492793548</v>
      </c>
    </row>
    <row r="107" spans="1:14" x14ac:dyDescent="0.2">
      <c r="B107" s="163" t="s">
        <v>88</v>
      </c>
      <c r="C107" s="248" t="s">
        <v>225</v>
      </c>
      <c r="D107" s="167" t="s">
        <v>122</v>
      </c>
      <c r="E107" s="249">
        <f>ROUND(66820.1771416426*$L$1,2)</f>
        <v>68985.149999999994</v>
      </c>
      <c r="F107" s="170">
        <f>(E107+G107)/2</f>
        <v>82087.875</v>
      </c>
      <c r="G107" s="249">
        <f>ROUND(92203.2202853632*$L$1,2)</f>
        <v>95190.6</v>
      </c>
      <c r="H107" s="167" t="s">
        <v>520</v>
      </c>
      <c r="K107" s="182" t="s">
        <v>456</v>
      </c>
      <c r="L107" s="183">
        <f>(G106-E106)/E106</f>
        <v>0.37987088525573992</v>
      </c>
    </row>
    <row r="108" spans="1:14" x14ac:dyDescent="0.2">
      <c r="B108" s="163" t="s">
        <v>88</v>
      </c>
      <c r="C108" s="248" t="s">
        <v>226</v>
      </c>
      <c r="D108" s="167" t="s">
        <v>38</v>
      </c>
      <c r="E108" s="166">
        <f>E107/2080</f>
        <v>33.165937499999998</v>
      </c>
      <c r="F108" s="166">
        <f>F107/2080</f>
        <v>39.465324519230769</v>
      </c>
      <c r="G108" s="166">
        <f>G107/2080</f>
        <v>45.76471153846154</v>
      </c>
      <c r="H108" s="167" t="s">
        <v>11</v>
      </c>
      <c r="K108" s="182" t="s">
        <v>457</v>
      </c>
      <c r="L108" s="183">
        <f>(E133-E106)/E106</f>
        <v>5.115941619319523E-2</v>
      </c>
      <c r="M108" s="183">
        <f>(F133-F106)/F106</f>
        <v>5.0929141484050013E-2</v>
      </c>
      <c r="N108" s="183">
        <f>(G133-G106)/G106</f>
        <v>5.0762260139131384E-2</v>
      </c>
    </row>
    <row r="109" spans="1:14" x14ac:dyDescent="0.2">
      <c r="B109" s="163" t="s">
        <v>88</v>
      </c>
      <c r="C109" s="248" t="s">
        <v>228</v>
      </c>
      <c r="D109" s="165" t="s">
        <v>384</v>
      </c>
      <c r="E109" s="250"/>
      <c r="G109" s="250"/>
    </row>
    <row r="110" spans="1:14" x14ac:dyDescent="0.2">
      <c r="C110" s="248" t="s">
        <v>229</v>
      </c>
      <c r="D110" s="252" t="s">
        <v>25</v>
      </c>
      <c r="E110" s="250"/>
      <c r="F110" s="251"/>
      <c r="G110" s="250"/>
    </row>
    <row r="111" spans="1:14" x14ac:dyDescent="0.2">
      <c r="B111" s="163" t="s">
        <v>88</v>
      </c>
      <c r="C111" s="248" t="s">
        <v>230</v>
      </c>
      <c r="D111" s="167" t="s">
        <v>131</v>
      </c>
      <c r="E111" s="250"/>
      <c r="G111" s="250"/>
    </row>
    <row r="112" spans="1:14" x14ac:dyDescent="0.2">
      <c r="B112" s="163" t="s">
        <v>88</v>
      </c>
      <c r="C112" s="248" t="s">
        <v>231</v>
      </c>
      <c r="D112" s="165" t="s">
        <v>491</v>
      </c>
      <c r="E112" s="250"/>
      <c r="G112" s="250"/>
    </row>
    <row r="113" spans="2:7" x14ac:dyDescent="0.2">
      <c r="B113" s="163" t="s">
        <v>88</v>
      </c>
      <c r="C113" s="248" t="s">
        <v>233</v>
      </c>
      <c r="D113" s="167" t="s">
        <v>39</v>
      </c>
      <c r="E113" s="250"/>
      <c r="G113" s="250"/>
    </row>
    <row r="114" spans="2:7" x14ac:dyDescent="0.2">
      <c r="B114" s="163" t="s">
        <v>88</v>
      </c>
      <c r="C114" s="248" t="s">
        <v>234</v>
      </c>
      <c r="D114" s="167" t="s">
        <v>40</v>
      </c>
      <c r="E114" s="250"/>
      <c r="G114" s="250"/>
    </row>
    <row r="115" spans="2:7" x14ac:dyDescent="0.2">
      <c r="C115" s="248" t="s">
        <v>388</v>
      </c>
      <c r="D115" s="167" t="s">
        <v>41</v>
      </c>
      <c r="E115" s="250"/>
      <c r="G115" s="250"/>
    </row>
    <row r="116" spans="2:7" x14ac:dyDescent="0.2">
      <c r="B116" s="163" t="s">
        <v>88</v>
      </c>
      <c r="C116" s="164" t="s">
        <v>217</v>
      </c>
      <c r="D116" s="165" t="s">
        <v>536</v>
      </c>
      <c r="E116" s="250"/>
      <c r="G116" s="250"/>
    </row>
    <row r="117" spans="2:7" x14ac:dyDescent="0.2">
      <c r="B117" s="163" t="s">
        <v>88</v>
      </c>
      <c r="C117" s="248" t="s">
        <v>237</v>
      </c>
      <c r="D117" s="167" t="s">
        <v>132</v>
      </c>
      <c r="E117" s="250"/>
      <c r="G117" s="250"/>
    </row>
    <row r="118" spans="2:7" x14ac:dyDescent="0.2">
      <c r="B118" s="163" t="s">
        <v>88</v>
      </c>
      <c r="C118" s="164" t="s">
        <v>696</v>
      </c>
      <c r="D118" s="167" t="s">
        <v>697</v>
      </c>
      <c r="E118" s="250"/>
      <c r="G118" s="250"/>
    </row>
    <row r="119" spans="2:7" x14ac:dyDescent="0.2">
      <c r="B119" s="163" t="s">
        <v>88</v>
      </c>
      <c r="C119" s="164" t="s">
        <v>698</v>
      </c>
      <c r="D119" s="167" t="s">
        <v>699</v>
      </c>
      <c r="E119" s="250"/>
      <c r="G119" s="250"/>
    </row>
    <row r="120" spans="2:7" x14ac:dyDescent="0.2">
      <c r="B120" s="163" t="s">
        <v>88</v>
      </c>
      <c r="C120" s="164" t="s">
        <v>700</v>
      </c>
      <c r="D120" s="167" t="s">
        <v>701</v>
      </c>
      <c r="E120" s="250"/>
      <c r="G120" s="250"/>
    </row>
    <row r="121" spans="2:7" x14ac:dyDescent="0.2">
      <c r="B121" s="163" t="s">
        <v>88</v>
      </c>
      <c r="C121" s="164" t="s">
        <v>702</v>
      </c>
      <c r="D121" s="167" t="s">
        <v>703</v>
      </c>
      <c r="E121" s="250"/>
      <c r="G121" s="250"/>
    </row>
    <row r="122" spans="2:7" x14ac:dyDescent="0.2">
      <c r="B122" s="163" t="s">
        <v>88</v>
      </c>
      <c r="C122" s="248" t="s">
        <v>238</v>
      </c>
      <c r="D122" s="167" t="s">
        <v>128</v>
      </c>
      <c r="E122" s="250"/>
      <c r="G122" s="250"/>
    </row>
    <row r="123" spans="2:7" x14ac:dyDescent="0.2">
      <c r="B123" s="179" t="s">
        <v>88</v>
      </c>
      <c r="C123" s="248" t="s">
        <v>387</v>
      </c>
      <c r="D123" s="165" t="s">
        <v>492</v>
      </c>
      <c r="E123" s="250"/>
      <c r="G123" s="250"/>
    </row>
    <row r="124" spans="2:7" x14ac:dyDescent="0.2">
      <c r="B124" s="163" t="s">
        <v>88</v>
      </c>
      <c r="C124" s="248" t="s">
        <v>241</v>
      </c>
      <c r="D124" s="167" t="s">
        <v>27</v>
      </c>
      <c r="E124" s="250"/>
      <c r="G124" s="250"/>
    </row>
    <row r="125" spans="2:7" x14ac:dyDescent="0.2">
      <c r="B125" s="163" t="s">
        <v>88</v>
      </c>
      <c r="C125" s="248" t="s">
        <v>242</v>
      </c>
      <c r="D125" s="167" t="s">
        <v>129</v>
      </c>
      <c r="E125" s="250"/>
      <c r="G125" s="250"/>
    </row>
    <row r="126" spans="2:7" x14ac:dyDescent="0.2">
      <c r="B126" s="163" t="s">
        <v>88</v>
      </c>
      <c r="C126" s="164" t="s">
        <v>591</v>
      </c>
      <c r="D126" s="167" t="s">
        <v>130</v>
      </c>
      <c r="E126" s="250"/>
      <c r="G126" s="250"/>
    </row>
    <row r="127" spans="2:7" x14ac:dyDescent="0.2">
      <c r="C127" s="248" t="s">
        <v>232</v>
      </c>
      <c r="D127" s="165" t="s">
        <v>412</v>
      </c>
      <c r="E127" s="250"/>
      <c r="G127" s="250"/>
    </row>
    <row r="128" spans="2:7" x14ac:dyDescent="0.2">
      <c r="C128" s="248" t="s">
        <v>244</v>
      </c>
      <c r="D128" s="167" t="s">
        <v>123</v>
      </c>
      <c r="E128" s="250"/>
      <c r="G128" s="250"/>
    </row>
    <row r="129" spans="1:14" x14ac:dyDescent="0.2">
      <c r="B129" s="163" t="s">
        <v>88</v>
      </c>
      <c r="C129" s="248" t="s">
        <v>235</v>
      </c>
      <c r="D129" s="165" t="s">
        <v>406</v>
      </c>
      <c r="E129" s="250"/>
      <c r="G129" s="250"/>
    </row>
    <row r="130" spans="1:14" x14ac:dyDescent="0.2">
      <c r="C130" s="248" t="s">
        <v>245</v>
      </c>
      <c r="D130" s="167" t="s">
        <v>124</v>
      </c>
      <c r="E130" s="250"/>
      <c r="G130" s="250"/>
    </row>
    <row r="131" spans="1:14" x14ac:dyDescent="0.2">
      <c r="E131" s="250"/>
      <c r="G131" s="250"/>
    </row>
    <row r="132" spans="1:14" x14ac:dyDescent="0.2">
      <c r="C132" s="164"/>
      <c r="E132" s="250"/>
      <c r="G132" s="250"/>
    </row>
    <row r="133" spans="1:14" x14ac:dyDescent="0.2">
      <c r="A133" s="179" t="s">
        <v>69</v>
      </c>
      <c r="C133" s="248" t="s">
        <v>1021</v>
      </c>
      <c r="D133" s="167" t="s">
        <v>1014</v>
      </c>
      <c r="E133" s="238">
        <f>E134/12</f>
        <v>6042.8658333333333</v>
      </c>
      <c r="F133" s="238">
        <f>F134/12</f>
        <v>7189.045000000001</v>
      </c>
      <c r="G133" s="238">
        <f>G134/12</f>
        <v>8335.2241666666669</v>
      </c>
      <c r="H133" s="167" t="s">
        <v>10</v>
      </c>
      <c r="K133" s="182" t="s">
        <v>455</v>
      </c>
      <c r="L133" s="183">
        <f>(F133-E133)/E133</f>
        <v>0.18967476662218372</v>
      </c>
      <c r="M133" s="183">
        <f>(G133-F133)/F133</f>
        <v>0.15943413439012633</v>
      </c>
    </row>
    <row r="134" spans="1:14" x14ac:dyDescent="0.2">
      <c r="B134" s="163" t="s">
        <v>88</v>
      </c>
      <c r="C134" s="163" t="s">
        <v>609</v>
      </c>
      <c r="D134" s="167" t="s">
        <v>610</v>
      </c>
      <c r="E134" s="249">
        <f>ROUND(70238.6557219828*$L$1,2)</f>
        <v>72514.39</v>
      </c>
      <c r="F134" s="170">
        <f>(E134+G134)/2</f>
        <v>86268.540000000008</v>
      </c>
      <c r="G134" s="249">
        <f>ROUND(96883.6623604746*$L$1,2)</f>
        <v>100022.69</v>
      </c>
      <c r="H134" s="167" t="s">
        <v>520</v>
      </c>
      <c r="K134" s="182" t="s">
        <v>456</v>
      </c>
      <c r="L134" s="183">
        <f>(G133-E133)/E133</f>
        <v>0.37934953324436715</v>
      </c>
    </row>
    <row r="135" spans="1:14" x14ac:dyDescent="0.2">
      <c r="B135" s="163" t="s">
        <v>88</v>
      </c>
      <c r="C135" s="248" t="s">
        <v>250</v>
      </c>
      <c r="D135" s="167" t="s">
        <v>137</v>
      </c>
      <c r="E135" s="166">
        <f>E134/2080</f>
        <v>34.8626875</v>
      </c>
      <c r="F135" s="166">
        <f>F134/2080</f>
        <v>41.475259615384623</v>
      </c>
      <c r="G135" s="166">
        <f>G134/2080</f>
        <v>48.087831730769231</v>
      </c>
      <c r="H135" s="167" t="s">
        <v>11</v>
      </c>
      <c r="K135" s="182" t="s">
        <v>457</v>
      </c>
      <c r="L135" s="183">
        <f>(E146-E133)/E133</f>
        <v>5.0488875380458945E-2</v>
      </c>
      <c r="M135" s="183">
        <f>(F146-F133)/F133</f>
        <v>5.0659487224427258E-2</v>
      </c>
      <c r="N135" s="183">
        <f>(G146-G133)/G133</f>
        <v>5.078317729707138E-2</v>
      </c>
    </row>
    <row r="136" spans="1:14" x14ac:dyDescent="0.2">
      <c r="B136" s="163" t="s">
        <v>88</v>
      </c>
      <c r="C136" s="164" t="s">
        <v>227</v>
      </c>
      <c r="D136" s="167" t="s">
        <v>494</v>
      </c>
      <c r="E136" s="250"/>
      <c r="G136" s="250"/>
    </row>
    <row r="137" spans="1:14" x14ac:dyDescent="0.2">
      <c r="B137" s="163" t="s">
        <v>88</v>
      </c>
      <c r="C137" s="164" t="s">
        <v>704</v>
      </c>
      <c r="D137" s="167" t="s">
        <v>705</v>
      </c>
      <c r="E137" s="250"/>
      <c r="F137" s="251"/>
      <c r="G137" s="250"/>
    </row>
    <row r="138" spans="1:14" x14ac:dyDescent="0.2">
      <c r="B138" s="163" t="s">
        <v>88</v>
      </c>
      <c r="C138" s="164" t="s">
        <v>706</v>
      </c>
      <c r="D138" s="167" t="s">
        <v>707</v>
      </c>
      <c r="E138" s="250"/>
      <c r="G138" s="250"/>
    </row>
    <row r="139" spans="1:14" x14ac:dyDescent="0.2">
      <c r="A139" s="558"/>
      <c r="B139" s="558" t="s">
        <v>88</v>
      </c>
      <c r="C139" s="248" t="s">
        <v>1124</v>
      </c>
      <c r="D139" s="160" t="s">
        <v>42</v>
      </c>
      <c r="E139" s="557"/>
      <c r="G139" s="557"/>
    </row>
    <row r="140" spans="1:14" x14ac:dyDescent="0.2">
      <c r="B140" s="163" t="s">
        <v>88</v>
      </c>
      <c r="C140" s="248" t="s">
        <v>252</v>
      </c>
      <c r="D140" s="165" t="s">
        <v>777</v>
      </c>
      <c r="E140" s="250"/>
      <c r="G140" s="250"/>
    </row>
    <row r="141" spans="1:14" x14ac:dyDescent="0.2">
      <c r="A141" s="392"/>
      <c r="B141" s="163" t="s">
        <v>88</v>
      </c>
      <c r="C141" s="248" t="s">
        <v>253</v>
      </c>
      <c r="D141" s="167" t="s">
        <v>43</v>
      </c>
      <c r="E141" s="393"/>
      <c r="G141" s="393"/>
    </row>
    <row r="142" spans="1:14" x14ac:dyDescent="0.2">
      <c r="B142" s="392"/>
      <c r="C142" s="248" t="s">
        <v>1006</v>
      </c>
      <c r="D142" s="167" t="s">
        <v>1003</v>
      </c>
      <c r="E142" s="250"/>
      <c r="G142" s="250"/>
    </row>
    <row r="143" spans="1:14" x14ac:dyDescent="0.2">
      <c r="B143" s="163" t="s">
        <v>88</v>
      </c>
      <c r="C143" s="164" t="s">
        <v>608</v>
      </c>
      <c r="D143" s="165" t="s">
        <v>607</v>
      </c>
      <c r="E143" s="250"/>
      <c r="G143" s="250"/>
    </row>
    <row r="144" spans="1:14" x14ac:dyDescent="0.2">
      <c r="A144" s="423"/>
      <c r="B144" s="163" t="s">
        <v>88</v>
      </c>
      <c r="C144" s="164" t="s">
        <v>476</v>
      </c>
      <c r="D144" s="167" t="s">
        <v>477</v>
      </c>
      <c r="E144" s="424"/>
      <c r="G144" s="424"/>
    </row>
    <row r="145" spans="1:14" x14ac:dyDescent="0.2">
      <c r="C145" s="164"/>
      <c r="D145" s="165"/>
      <c r="E145" s="250"/>
      <c r="G145" s="250"/>
    </row>
    <row r="146" spans="1:14" x14ac:dyDescent="0.2">
      <c r="A146" s="179" t="s">
        <v>144</v>
      </c>
      <c r="B146" s="163" t="s">
        <v>88</v>
      </c>
      <c r="C146" s="248" t="s">
        <v>246</v>
      </c>
      <c r="D146" s="165" t="s">
        <v>778</v>
      </c>
      <c r="E146" s="238">
        <f>E147/12</f>
        <v>6347.9633333333331</v>
      </c>
      <c r="F146" s="238">
        <f>F147/12</f>
        <v>7553.2383333333337</v>
      </c>
      <c r="G146" s="238">
        <f>G147/12</f>
        <v>8758.5133333333342</v>
      </c>
      <c r="H146" s="167" t="s">
        <v>10</v>
      </c>
      <c r="K146" s="182" t="s">
        <v>455</v>
      </c>
      <c r="L146" s="183">
        <f>(F146-E146)/E146</f>
        <v>0.18986798390454901</v>
      </c>
      <c r="M146" s="183">
        <f>(G146-F146)/F146</f>
        <v>0.15957063008074027</v>
      </c>
    </row>
    <row r="147" spans="1:14" x14ac:dyDescent="0.2">
      <c r="A147" s="179"/>
      <c r="B147" s="163" t="s">
        <v>88</v>
      </c>
      <c r="C147" s="248" t="s">
        <v>255</v>
      </c>
      <c r="D147" s="165" t="s">
        <v>481</v>
      </c>
      <c r="E147" s="249">
        <f>ROUND(73784.9307472134*$L$1,2)</f>
        <v>76175.56</v>
      </c>
      <c r="F147" s="170">
        <f>(E147+G147)/2</f>
        <v>90638.86</v>
      </c>
      <c r="G147" s="249">
        <f>ROUND(101803.719894669*$L$1,2)</f>
        <v>105102.16</v>
      </c>
      <c r="H147" s="167" t="s">
        <v>520</v>
      </c>
      <c r="K147" s="182" t="s">
        <v>456</v>
      </c>
      <c r="L147" s="183">
        <f>(G146-E146)/E146</f>
        <v>0.37973596780909802</v>
      </c>
    </row>
    <row r="148" spans="1:14" x14ac:dyDescent="0.2">
      <c r="B148" s="163" t="s">
        <v>88</v>
      </c>
      <c r="C148" s="248" t="s">
        <v>256</v>
      </c>
      <c r="D148" s="167" t="s">
        <v>142</v>
      </c>
      <c r="E148" s="166">
        <f>E147/2080</f>
        <v>36.62286538461538</v>
      </c>
      <c r="F148" s="166">
        <f>F147/2080</f>
        <v>43.576374999999999</v>
      </c>
      <c r="G148" s="166">
        <f>G147/2080</f>
        <v>50.529884615384617</v>
      </c>
      <c r="H148" s="167" t="s">
        <v>11</v>
      </c>
      <c r="K148" s="182" t="s">
        <v>457</v>
      </c>
      <c r="L148" s="183">
        <f>(E169-E146)/E146</f>
        <v>5.08769479344819E-2</v>
      </c>
      <c r="M148" s="183">
        <f>(F169-F146)/F146</f>
        <v>5.0946249765277306E-2</v>
      </c>
      <c r="N148" s="183">
        <f>(G169-G146)/G146</f>
        <v>5.0996478093313986E-2</v>
      </c>
    </row>
    <row r="149" spans="1:14" x14ac:dyDescent="0.2">
      <c r="B149" s="163" t="s">
        <v>88</v>
      </c>
      <c r="C149" s="248" t="s">
        <v>257</v>
      </c>
      <c r="D149" s="165" t="s">
        <v>143</v>
      </c>
      <c r="E149" s="250"/>
      <c r="F149" s="166"/>
      <c r="G149" s="250"/>
      <c r="K149" s="182"/>
      <c r="L149" s="183"/>
      <c r="M149" s="183"/>
      <c r="N149" s="183"/>
    </row>
    <row r="150" spans="1:14" x14ac:dyDescent="0.2">
      <c r="B150" s="179" t="s">
        <v>88</v>
      </c>
      <c r="C150" s="164" t="s">
        <v>590</v>
      </c>
      <c r="D150" s="165" t="s">
        <v>926</v>
      </c>
      <c r="E150" s="250"/>
      <c r="F150" s="255"/>
      <c r="G150" s="250"/>
    </row>
    <row r="151" spans="1:14" x14ac:dyDescent="0.2">
      <c r="A151" s="423"/>
      <c r="B151" s="179" t="s">
        <v>88</v>
      </c>
      <c r="C151" s="164" t="s">
        <v>1020</v>
      </c>
      <c r="D151" s="165" t="s">
        <v>1019</v>
      </c>
      <c r="E151" s="424"/>
      <c r="F151" s="255"/>
      <c r="G151" s="424"/>
    </row>
    <row r="152" spans="1:14" x14ac:dyDescent="0.2">
      <c r="B152" s="163" t="s">
        <v>88</v>
      </c>
      <c r="C152" s="248" t="s">
        <v>892</v>
      </c>
      <c r="D152" s="165" t="s">
        <v>927</v>
      </c>
      <c r="E152" s="250"/>
      <c r="F152" s="255"/>
      <c r="G152" s="250"/>
    </row>
    <row r="153" spans="1:14" x14ac:dyDescent="0.2">
      <c r="B153" s="163" t="s">
        <v>88</v>
      </c>
      <c r="C153" s="248" t="s">
        <v>248</v>
      </c>
      <c r="D153" s="167" t="s">
        <v>133</v>
      </c>
      <c r="E153" s="250"/>
      <c r="F153" s="255"/>
      <c r="G153" s="250"/>
    </row>
    <row r="154" spans="1:14" x14ac:dyDescent="0.2">
      <c r="B154" s="163" t="s">
        <v>88</v>
      </c>
      <c r="C154" s="248" t="s">
        <v>249</v>
      </c>
      <c r="D154" s="167" t="s">
        <v>134</v>
      </c>
      <c r="E154" s="250"/>
      <c r="F154" s="255"/>
      <c r="G154" s="250"/>
    </row>
    <row r="155" spans="1:14" x14ac:dyDescent="0.2">
      <c r="B155" s="163" t="s">
        <v>88</v>
      </c>
      <c r="C155" s="248" t="s">
        <v>258</v>
      </c>
      <c r="D155" s="167" t="s">
        <v>140</v>
      </c>
      <c r="E155" s="250"/>
      <c r="F155" s="255"/>
      <c r="G155" s="250"/>
    </row>
    <row r="156" spans="1:14" x14ac:dyDescent="0.2">
      <c r="B156" s="163" t="s">
        <v>88</v>
      </c>
      <c r="C156" s="248" t="s">
        <v>911</v>
      </c>
      <c r="D156" s="167" t="s">
        <v>912</v>
      </c>
      <c r="E156" s="250"/>
      <c r="G156" s="250"/>
      <c r="K156" s="182"/>
      <c r="L156" s="183"/>
      <c r="M156" s="183"/>
      <c r="N156" s="183"/>
    </row>
    <row r="157" spans="1:14" x14ac:dyDescent="0.2">
      <c r="B157" s="163" t="s">
        <v>88</v>
      </c>
      <c r="C157" s="248" t="s">
        <v>411</v>
      </c>
      <c r="D157" s="165" t="s">
        <v>592</v>
      </c>
      <c r="E157" s="250"/>
      <c r="F157" s="251"/>
      <c r="G157" s="250"/>
    </row>
    <row r="158" spans="1:14" x14ac:dyDescent="0.2">
      <c r="B158" s="163" t="s">
        <v>88</v>
      </c>
      <c r="C158" s="164" t="s">
        <v>537</v>
      </c>
      <c r="D158" s="167" t="s">
        <v>538</v>
      </c>
      <c r="E158" s="250"/>
      <c r="F158" s="251"/>
      <c r="G158" s="250"/>
    </row>
    <row r="159" spans="1:14" x14ac:dyDescent="0.2">
      <c r="B159" s="163" t="s">
        <v>88</v>
      </c>
      <c r="C159" s="164" t="s">
        <v>709</v>
      </c>
      <c r="D159" s="167" t="s">
        <v>710</v>
      </c>
      <c r="E159" s="250"/>
      <c r="G159" s="250"/>
    </row>
    <row r="160" spans="1:14" x14ac:dyDescent="0.2">
      <c r="B160" s="163" t="s">
        <v>88</v>
      </c>
      <c r="C160" s="164" t="s">
        <v>711</v>
      </c>
      <c r="D160" s="167" t="s">
        <v>712</v>
      </c>
      <c r="E160" s="250"/>
      <c r="G160" s="250"/>
    </row>
    <row r="161" spans="1:14" x14ac:dyDescent="0.2">
      <c r="B161" s="163" t="s">
        <v>88</v>
      </c>
      <c r="C161" s="248" t="s">
        <v>518</v>
      </c>
      <c r="D161" s="167" t="s">
        <v>519</v>
      </c>
      <c r="E161" s="250"/>
      <c r="G161" s="250"/>
    </row>
    <row r="162" spans="1:14" x14ac:dyDescent="0.2">
      <c r="B162" s="163" t="s">
        <v>88</v>
      </c>
      <c r="C162" s="164" t="s">
        <v>825</v>
      </c>
      <c r="D162" s="167" t="s">
        <v>826</v>
      </c>
      <c r="E162" s="250"/>
      <c r="G162" s="250"/>
    </row>
    <row r="163" spans="1:14" x14ac:dyDescent="0.2">
      <c r="B163" s="163" t="s">
        <v>88</v>
      </c>
      <c r="C163" s="164" t="s">
        <v>823</v>
      </c>
      <c r="D163" s="167" t="s">
        <v>824</v>
      </c>
      <c r="E163" s="250"/>
      <c r="G163" s="250"/>
    </row>
    <row r="164" spans="1:14" x14ac:dyDescent="0.2">
      <c r="B164" s="163" t="s">
        <v>88</v>
      </c>
      <c r="C164" s="180" t="s">
        <v>243</v>
      </c>
      <c r="D164" s="165" t="s">
        <v>126</v>
      </c>
      <c r="E164" s="250"/>
      <c r="G164" s="250"/>
    </row>
    <row r="165" spans="1:14" x14ac:dyDescent="0.2">
      <c r="B165" s="163" t="s">
        <v>88</v>
      </c>
      <c r="C165" s="164" t="s">
        <v>915</v>
      </c>
      <c r="D165" s="167" t="s">
        <v>916</v>
      </c>
      <c r="E165" s="250"/>
      <c r="G165" s="250"/>
    </row>
    <row r="166" spans="1:14" x14ac:dyDescent="0.2">
      <c r="B166" s="163" t="s">
        <v>88</v>
      </c>
      <c r="C166" s="164" t="s">
        <v>400</v>
      </c>
      <c r="D166" s="165" t="s">
        <v>401</v>
      </c>
      <c r="E166" s="250"/>
      <c r="G166" s="250"/>
    </row>
    <row r="167" spans="1:14" x14ac:dyDescent="0.2">
      <c r="B167" s="163" t="s">
        <v>88</v>
      </c>
      <c r="C167" s="164" t="s">
        <v>708</v>
      </c>
      <c r="D167" s="167" t="s">
        <v>881</v>
      </c>
      <c r="E167" s="250"/>
      <c r="G167" s="250"/>
    </row>
    <row r="168" spans="1:14" x14ac:dyDescent="0.2">
      <c r="E168" s="250"/>
      <c r="G168" s="250"/>
    </row>
    <row r="169" spans="1:14" x14ac:dyDescent="0.2">
      <c r="A169" s="179" t="s">
        <v>70</v>
      </c>
      <c r="B169" s="163" t="s">
        <v>88</v>
      </c>
      <c r="C169" s="163" t="s">
        <v>962</v>
      </c>
      <c r="D169" s="167" t="s">
        <v>164</v>
      </c>
      <c r="E169" s="238">
        <f>E170/12</f>
        <v>6670.9283333333333</v>
      </c>
      <c r="F169" s="238">
        <f>F170/12</f>
        <v>7938.0475000000006</v>
      </c>
      <c r="G169" s="238">
        <f>G170/12</f>
        <v>9205.1666666666661</v>
      </c>
      <c r="H169" s="167" t="s">
        <v>10</v>
      </c>
      <c r="K169" s="182" t="s">
        <v>455</v>
      </c>
      <c r="L169" s="183">
        <f>(F169-E169)/E169</f>
        <v>0.18994645173073121</v>
      </c>
      <c r="M169" s="183">
        <f>(G169-F169)/F169</f>
        <v>0.15962604994070209</v>
      </c>
    </row>
    <row r="170" spans="1:14" ht="12.2" customHeight="1" x14ac:dyDescent="0.2">
      <c r="B170" s="163" t="s">
        <v>88</v>
      </c>
      <c r="C170" s="248" t="s">
        <v>262</v>
      </c>
      <c r="D170" s="167" t="s">
        <v>45</v>
      </c>
      <c r="E170" s="238">
        <f>ROUND(77538.8778704774*$L$1,2)</f>
        <v>80051.14</v>
      </c>
      <c r="F170" s="238">
        <f>(E170+G170)/2</f>
        <v>95256.57</v>
      </c>
      <c r="G170" s="238">
        <f>ROUND(106995.347540245*$L$1,2)</f>
        <v>110462</v>
      </c>
      <c r="H170" s="238" t="s">
        <v>520</v>
      </c>
      <c r="K170" s="182" t="s">
        <v>456</v>
      </c>
      <c r="L170" s="183">
        <f>(G169-E169)/E169</f>
        <v>0.37989290346146221</v>
      </c>
    </row>
    <row r="171" spans="1:14" x14ac:dyDescent="0.2">
      <c r="B171" s="163" t="s">
        <v>88</v>
      </c>
      <c r="C171" s="248" t="s">
        <v>263</v>
      </c>
      <c r="D171" s="167" t="s">
        <v>50</v>
      </c>
      <c r="E171" s="238">
        <f>E170/2080</f>
        <v>38.486125000000001</v>
      </c>
      <c r="F171" s="238">
        <f>F170/2080</f>
        <v>45.79642788461539</v>
      </c>
      <c r="G171" s="238">
        <f>G170/2080</f>
        <v>53.106730769230772</v>
      </c>
      <c r="H171" s="238" t="s">
        <v>11</v>
      </c>
      <c r="K171" s="182" t="s">
        <v>457</v>
      </c>
      <c r="L171" s="183">
        <f>(E192-E169)/E169</f>
        <v>5.0885846222802088E-2</v>
      </c>
      <c r="M171" s="183">
        <f>(F192-F169)/F169</f>
        <v>5.0813660412084946E-2</v>
      </c>
      <c r="N171" s="183">
        <f>(G192-G169)/G169</f>
        <v>5.0761347793811425E-2</v>
      </c>
    </row>
    <row r="172" spans="1:14" x14ac:dyDescent="0.2">
      <c r="A172" s="551"/>
      <c r="B172" s="551" t="s">
        <v>88</v>
      </c>
      <c r="C172" s="248" t="s">
        <v>1099</v>
      </c>
      <c r="D172" s="167" t="s">
        <v>121</v>
      </c>
      <c r="E172" s="238"/>
      <c r="F172" s="238"/>
      <c r="G172" s="238"/>
      <c r="H172" s="238"/>
      <c r="K172" s="182"/>
      <c r="L172" s="183"/>
      <c r="M172" s="183"/>
      <c r="N172" s="183"/>
    </row>
    <row r="173" spans="1:14" x14ac:dyDescent="0.2">
      <c r="A173" s="416"/>
      <c r="B173" s="435" t="s">
        <v>88</v>
      </c>
      <c r="C173" s="248" t="s">
        <v>1022</v>
      </c>
      <c r="D173" s="167" t="s">
        <v>1023</v>
      </c>
      <c r="E173" s="238"/>
      <c r="F173" s="238"/>
      <c r="G173" s="238"/>
      <c r="H173" s="238"/>
      <c r="K173" s="182"/>
      <c r="L173" s="183"/>
      <c r="M173" s="183"/>
      <c r="N173" s="183"/>
    </row>
    <row r="174" spans="1:14" x14ac:dyDescent="0.2">
      <c r="B174" s="163" t="s">
        <v>88</v>
      </c>
      <c r="C174" s="248" t="s">
        <v>264</v>
      </c>
      <c r="D174" s="167" t="s">
        <v>146</v>
      </c>
      <c r="E174" s="238"/>
      <c r="F174" s="238"/>
      <c r="G174" s="238"/>
      <c r="H174" s="238"/>
      <c r="K174" s="182"/>
      <c r="L174" s="183"/>
      <c r="M174" s="183"/>
      <c r="N174" s="183"/>
    </row>
    <row r="175" spans="1:14" x14ac:dyDescent="0.2">
      <c r="B175" s="163" t="s">
        <v>88</v>
      </c>
      <c r="C175" s="248" t="s">
        <v>265</v>
      </c>
      <c r="D175" s="167" t="s">
        <v>44</v>
      </c>
      <c r="E175" s="238"/>
      <c r="F175" s="238"/>
      <c r="G175" s="238"/>
      <c r="H175" s="238"/>
    </row>
    <row r="176" spans="1:14" x14ac:dyDescent="0.2">
      <c r="B176" s="163" t="s">
        <v>88</v>
      </c>
      <c r="C176" s="164" t="s">
        <v>713</v>
      </c>
      <c r="D176" s="167" t="s">
        <v>714</v>
      </c>
      <c r="E176" s="238"/>
      <c r="F176" s="238"/>
      <c r="G176" s="238"/>
      <c r="H176" s="238"/>
    </row>
    <row r="177" spans="1:13" x14ac:dyDescent="0.2">
      <c r="B177" s="163" t="s">
        <v>88</v>
      </c>
      <c r="C177" s="164" t="s">
        <v>715</v>
      </c>
      <c r="D177" s="167" t="s">
        <v>716</v>
      </c>
      <c r="E177" s="238"/>
      <c r="F177" s="238"/>
      <c r="G177" s="238"/>
      <c r="H177" s="238"/>
    </row>
    <row r="178" spans="1:13" x14ac:dyDescent="0.2">
      <c r="B178" s="163" t="s">
        <v>88</v>
      </c>
      <c r="C178" s="164" t="s">
        <v>617</v>
      </c>
      <c r="D178" s="167" t="s">
        <v>835</v>
      </c>
      <c r="E178" s="238"/>
      <c r="F178" s="238"/>
      <c r="G178" s="238"/>
      <c r="H178" s="238"/>
    </row>
    <row r="179" spans="1:13" x14ac:dyDescent="0.2">
      <c r="B179" s="163" t="s">
        <v>88</v>
      </c>
      <c r="C179" s="164" t="s">
        <v>479</v>
      </c>
      <c r="D179" s="167" t="s">
        <v>463</v>
      </c>
      <c r="E179" s="238"/>
      <c r="F179" s="238"/>
      <c r="G179" s="238"/>
      <c r="H179" s="238"/>
    </row>
    <row r="180" spans="1:13" x14ac:dyDescent="0.2">
      <c r="B180" s="163" t="s">
        <v>88</v>
      </c>
      <c r="C180" s="248" t="s">
        <v>266</v>
      </c>
      <c r="D180" s="167" t="s">
        <v>148</v>
      </c>
      <c r="E180" s="238"/>
      <c r="F180" s="238"/>
      <c r="G180" s="238"/>
      <c r="H180" s="238"/>
    </row>
    <row r="181" spans="1:13" x14ac:dyDescent="0.2">
      <c r="B181" s="163" t="s">
        <v>88</v>
      </c>
      <c r="C181" s="248" t="s">
        <v>267</v>
      </c>
      <c r="D181" s="167" t="s">
        <v>145</v>
      </c>
      <c r="E181" s="238"/>
      <c r="F181" s="238"/>
      <c r="G181" s="238"/>
      <c r="H181" s="238"/>
    </row>
    <row r="182" spans="1:13" x14ac:dyDescent="0.2">
      <c r="B182" s="163" t="s">
        <v>88</v>
      </c>
      <c r="C182" s="248" t="s">
        <v>268</v>
      </c>
      <c r="D182" s="167" t="s">
        <v>149</v>
      </c>
      <c r="E182" s="250"/>
      <c r="G182" s="250"/>
    </row>
    <row r="183" spans="1:13" x14ac:dyDescent="0.2">
      <c r="B183" s="163" t="s">
        <v>88</v>
      </c>
      <c r="C183" s="248" t="s">
        <v>260</v>
      </c>
      <c r="D183" s="167" t="s">
        <v>141</v>
      </c>
      <c r="E183" s="250"/>
      <c r="G183" s="250"/>
    </row>
    <row r="184" spans="1:13" x14ac:dyDescent="0.2">
      <c r="B184" s="163" t="s">
        <v>88</v>
      </c>
      <c r="C184" s="248" t="s">
        <v>269</v>
      </c>
      <c r="D184" s="167" t="s">
        <v>150</v>
      </c>
      <c r="E184" s="250"/>
      <c r="G184" s="250"/>
    </row>
    <row r="185" spans="1:13" x14ac:dyDescent="0.2">
      <c r="B185" s="163" t="s">
        <v>88</v>
      </c>
      <c r="C185" s="248" t="s">
        <v>270</v>
      </c>
      <c r="D185" s="167" t="s">
        <v>47</v>
      </c>
      <c r="E185" s="250"/>
      <c r="G185" s="250"/>
    </row>
    <row r="186" spans="1:13" x14ac:dyDescent="0.2">
      <c r="B186" s="163" t="s">
        <v>88</v>
      </c>
      <c r="C186" s="248" t="s">
        <v>271</v>
      </c>
      <c r="D186" s="167" t="s">
        <v>48</v>
      </c>
      <c r="E186" s="250"/>
      <c r="G186" s="250"/>
    </row>
    <row r="187" spans="1:13" x14ac:dyDescent="0.2">
      <c r="B187" s="163" t="s">
        <v>88</v>
      </c>
      <c r="C187" s="248" t="s">
        <v>909</v>
      </c>
      <c r="D187" s="167" t="s">
        <v>910</v>
      </c>
      <c r="E187" s="250"/>
      <c r="G187" s="250"/>
    </row>
    <row r="188" spans="1:13" x14ac:dyDescent="0.2">
      <c r="B188" s="163" t="s">
        <v>88</v>
      </c>
      <c r="C188" s="248" t="s">
        <v>1118</v>
      </c>
      <c r="D188" s="167" t="s">
        <v>1117</v>
      </c>
      <c r="E188" s="250"/>
      <c r="G188" s="250"/>
    </row>
    <row r="189" spans="1:13" x14ac:dyDescent="0.2">
      <c r="A189" s="551"/>
      <c r="B189" s="551" t="s">
        <v>88</v>
      </c>
      <c r="C189" s="248" t="s">
        <v>1100</v>
      </c>
      <c r="D189" s="167" t="s">
        <v>1101</v>
      </c>
      <c r="E189" s="550"/>
      <c r="G189" s="550"/>
    </row>
    <row r="190" spans="1:13" x14ac:dyDescent="0.2">
      <c r="B190" s="163" t="s">
        <v>88</v>
      </c>
      <c r="C190" s="248" t="s">
        <v>254</v>
      </c>
      <c r="D190" s="167" t="s">
        <v>136</v>
      </c>
      <c r="E190" s="250"/>
      <c r="G190" s="250"/>
    </row>
    <row r="191" spans="1:13" x14ac:dyDescent="0.2">
      <c r="C191" s="248"/>
      <c r="E191" s="250"/>
      <c r="G191" s="250"/>
    </row>
    <row r="192" spans="1:13" x14ac:dyDescent="0.2">
      <c r="A192" s="179" t="s">
        <v>71</v>
      </c>
      <c r="B192" s="163" t="s">
        <v>88</v>
      </c>
      <c r="C192" s="248" t="s">
        <v>272</v>
      </c>
      <c r="D192" s="165" t="s">
        <v>478</v>
      </c>
      <c r="E192" s="238">
        <f>E193/12</f>
        <v>7010.3841666666667</v>
      </c>
      <c r="F192" s="238">
        <f>F193/12</f>
        <v>8341.4087500000005</v>
      </c>
      <c r="G192" s="238">
        <f>G193/12</f>
        <v>9672.4333333333325</v>
      </c>
      <c r="H192" s="167" t="s">
        <v>10</v>
      </c>
      <c r="K192" s="182" t="s">
        <v>455</v>
      </c>
      <c r="L192" s="183">
        <f>(F192-E192)/E192</f>
        <v>0.18986471378589459</v>
      </c>
      <c r="M192" s="183">
        <f>(G192-F192)/F192</f>
        <v>0.15956832031919452</v>
      </c>
    </row>
    <row r="193" spans="1:14" x14ac:dyDescent="0.2">
      <c r="B193" s="420" t="s">
        <v>88</v>
      </c>
      <c r="C193" s="248" t="s">
        <v>261</v>
      </c>
      <c r="D193" s="167" t="s">
        <v>147</v>
      </c>
      <c r="E193" s="249">
        <f>ROUND(81484.5079516338*$L$1,2)</f>
        <v>84124.61</v>
      </c>
      <c r="F193" s="170">
        <f>(E193+G193)/2</f>
        <v>100096.905</v>
      </c>
      <c r="G193" s="249">
        <f>ROUND(112426.579144558*$L$1,2)</f>
        <v>116069.2</v>
      </c>
      <c r="H193" s="167" t="s">
        <v>520</v>
      </c>
      <c r="K193" s="182" t="s">
        <v>456</v>
      </c>
      <c r="L193" s="183">
        <f>(G192-E192)/E192</f>
        <v>0.3797294275717889</v>
      </c>
    </row>
    <row r="194" spans="1:14" x14ac:dyDescent="0.2">
      <c r="B194" s="163" t="s">
        <v>88</v>
      </c>
      <c r="C194" s="163" t="s">
        <v>951</v>
      </c>
      <c r="D194" s="167" t="s">
        <v>950</v>
      </c>
      <c r="E194" s="166">
        <f>E193/2080</f>
        <v>40.444524038461537</v>
      </c>
      <c r="F194" s="166">
        <f>F193/2080</f>
        <v>48.123512019230766</v>
      </c>
      <c r="G194" s="166">
        <f>G193/2080</f>
        <v>55.802500000000002</v>
      </c>
      <c r="H194" s="167" t="s">
        <v>11</v>
      </c>
      <c r="K194" s="182"/>
      <c r="L194" s="183"/>
    </row>
    <row r="195" spans="1:14" x14ac:dyDescent="0.2">
      <c r="B195" s="163" t="s">
        <v>88</v>
      </c>
      <c r="C195" s="164" t="s">
        <v>891</v>
      </c>
      <c r="D195" s="165" t="s">
        <v>928</v>
      </c>
      <c r="E195" s="167"/>
      <c r="F195" s="167"/>
      <c r="G195" s="167"/>
      <c r="K195" s="182" t="s">
        <v>457</v>
      </c>
      <c r="L195" s="183">
        <f>(E207-E192)/E192</f>
        <v>5.0578183958297003E-2</v>
      </c>
      <c r="M195" s="183">
        <f>(F207-F192)/F192</f>
        <v>5.0827845276534618E-2</v>
      </c>
      <c r="N195" s="183">
        <f>(G207-G192)/G192</f>
        <v>5.1008794753474744E-2</v>
      </c>
    </row>
    <row r="196" spans="1:14" x14ac:dyDescent="0.2">
      <c r="B196" s="163" t="s">
        <v>88</v>
      </c>
      <c r="C196" s="164" t="s">
        <v>717</v>
      </c>
      <c r="D196" s="252" t="s">
        <v>718</v>
      </c>
      <c r="E196" s="166"/>
      <c r="F196" s="166"/>
      <c r="G196" s="166"/>
      <c r="K196" s="182"/>
      <c r="L196" s="183"/>
      <c r="M196" s="183"/>
      <c r="N196" s="183"/>
    </row>
    <row r="197" spans="1:14" x14ac:dyDescent="0.2">
      <c r="B197" s="163" t="s">
        <v>88</v>
      </c>
      <c r="C197" s="164" t="s">
        <v>719</v>
      </c>
      <c r="D197" s="252" t="s">
        <v>720</v>
      </c>
      <c r="E197" s="166"/>
      <c r="F197" s="166"/>
      <c r="G197" s="166"/>
      <c r="K197" s="182"/>
      <c r="L197" s="183"/>
      <c r="M197" s="183"/>
      <c r="N197" s="183"/>
    </row>
    <row r="198" spans="1:14" x14ac:dyDescent="0.2">
      <c r="B198" s="163" t="s">
        <v>88</v>
      </c>
      <c r="C198" s="164" t="s">
        <v>721</v>
      </c>
      <c r="D198" s="252" t="s">
        <v>722</v>
      </c>
      <c r="E198" s="166"/>
      <c r="F198" s="166"/>
      <c r="G198" s="166"/>
      <c r="K198" s="182"/>
      <c r="L198" s="183"/>
      <c r="M198" s="183"/>
      <c r="N198" s="183"/>
    </row>
    <row r="199" spans="1:14" x14ac:dyDescent="0.2">
      <c r="B199" s="163" t="s">
        <v>88</v>
      </c>
      <c r="C199" s="164" t="s">
        <v>963</v>
      </c>
      <c r="D199" s="252" t="s">
        <v>956</v>
      </c>
      <c r="E199" s="166"/>
      <c r="F199" s="166"/>
      <c r="G199" s="166"/>
      <c r="K199" s="182"/>
      <c r="L199" s="183"/>
      <c r="M199" s="183"/>
      <c r="N199" s="183"/>
    </row>
    <row r="200" spans="1:14" x14ac:dyDescent="0.2">
      <c r="B200" s="163" t="s">
        <v>88</v>
      </c>
      <c r="C200" s="164" t="s">
        <v>855</v>
      </c>
      <c r="D200" s="252" t="s">
        <v>856</v>
      </c>
      <c r="E200" s="250"/>
      <c r="G200" s="250"/>
    </row>
    <row r="201" spans="1:14" x14ac:dyDescent="0.2">
      <c r="B201" s="163" t="s">
        <v>88</v>
      </c>
      <c r="C201" s="248" t="s">
        <v>259</v>
      </c>
      <c r="D201" s="167" t="s">
        <v>139</v>
      </c>
      <c r="E201" s="250"/>
      <c r="G201" s="250"/>
    </row>
    <row r="202" spans="1:14" x14ac:dyDescent="0.2">
      <c r="B202" s="163" t="s">
        <v>88</v>
      </c>
      <c r="C202" s="164" t="s">
        <v>1012</v>
      </c>
      <c r="D202" s="252" t="s">
        <v>1013</v>
      </c>
      <c r="E202" s="250"/>
      <c r="G202" s="250"/>
    </row>
    <row r="203" spans="1:14" x14ac:dyDescent="0.2">
      <c r="B203" s="163" t="s">
        <v>88</v>
      </c>
      <c r="C203" s="248" t="s">
        <v>275</v>
      </c>
      <c r="D203" s="165" t="s">
        <v>486</v>
      </c>
      <c r="E203" s="250"/>
      <c r="G203" s="250"/>
    </row>
    <row r="204" spans="1:14" x14ac:dyDescent="0.2">
      <c r="B204" s="163" t="s">
        <v>88</v>
      </c>
      <c r="C204" s="163" t="s">
        <v>408</v>
      </c>
      <c r="D204" s="252" t="s">
        <v>606</v>
      </c>
      <c r="E204" s="250"/>
      <c r="G204" s="250"/>
    </row>
    <row r="205" spans="1:14" x14ac:dyDescent="0.2">
      <c r="A205" s="420"/>
      <c r="B205" s="163" t="s">
        <v>88</v>
      </c>
      <c r="C205" s="248" t="s">
        <v>276</v>
      </c>
      <c r="D205" s="167" t="s">
        <v>153</v>
      </c>
      <c r="E205" s="421"/>
      <c r="G205" s="421"/>
    </row>
    <row r="206" spans="1:14" x14ac:dyDescent="0.2">
      <c r="B206" s="167"/>
      <c r="C206" s="167"/>
      <c r="E206" s="250"/>
      <c r="G206" s="250"/>
    </row>
    <row r="207" spans="1:14" x14ac:dyDescent="0.2">
      <c r="A207" s="179" t="s">
        <v>72</v>
      </c>
      <c r="B207" s="163" t="s">
        <v>88</v>
      </c>
      <c r="C207" s="163" t="s">
        <v>723</v>
      </c>
      <c r="D207" s="167" t="s">
        <v>724</v>
      </c>
      <c r="E207" s="238">
        <f>E208/12</f>
        <v>7364.956666666666</v>
      </c>
      <c r="F207" s="238">
        <f>F208/12</f>
        <v>8765.3845833333326</v>
      </c>
      <c r="G207" s="238">
        <f>G208/12</f>
        <v>10165.8125</v>
      </c>
      <c r="H207" s="167" t="s">
        <v>10</v>
      </c>
      <c r="K207" s="182" t="s">
        <v>455</v>
      </c>
      <c r="L207" s="183">
        <f>(F207-E207)/E207</f>
        <v>0.19014747540945023</v>
      </c>
      <c r="M207" s="183">
        <f>(G207-F207)/F207</f>
        <v>0.15976799458742147</v>
      </c>
    </row>
    <row r="208" spans="1:14" x14ac:dyDescent="0.2">
      <c r="A208" s="179"/>
      <c r="B208" s="163" t="s">
        <v>88</v>
      </c>
      <c r="C208" s="164" t="s">
        <v>725</v>
      </c>
      <c r="D208" s="167" t="s">
        <v>726</v>
      </c>
      <c r="E208" s="249">
        <f>ROUND(85605.855269428*$L$1,2)</f>
        <v>88379.48</v>
      </c>
      <c r="F208" s="170">
        <f>(E208+G208)/2</f>
        <v>105184.61499999999</v>
      </c>
      <c r="G208" s="249">
        <f>ROUND(118161.324221301*$L$1,2)</f>
        <v>121989.75</v>
      </c>
      <c r="H208" s="167" t="s">
        <v>520</v>
      </c>
      <c r="K208" s="182" t="s">
        <v>456</v>
      </c>
      <c r="L208" s="183">
        <f>(G207-E207)/E207</f>
        <v>0.38029495081890063</v>
      </c>
    </row>
    <row r="209" spans="1:14" x14ac:dyDescent="0.2">
      <c r="A209" s="179"/>
      <c r="B209" s="163" t="s">
        <v>88</v>
      </c>
      <c r="C209" s="164" t="s">
        <v>727</v>
      </c>
      <c r="D209" s="167" t="s">
        <v>728</v>
      </c>
      <c r="E209" s="166">
        <f>E208/2080</f>
        <v>42.490134615384612</v>
      </c>
      <c r="F209" s="166">
        <f>F208/2080</f>
        <v>50.569526442307691</v>
      </c>
      <c r="G209" s="166">
        <f>G208/2080</f>
        <v>58.648918269230769</v>
      </c>
      <c r="H209" s="167" t="s">
        <v>11</v>
      </c>
      <c r="K209" s="182" t="s">
        <v>457</v>
      </c>
      <c r="L209" s="183">
        <f>(E219-E207)/E207</f>
        <v>5.1129062990640059E-2</v>
      </c>
      <c r="M209" s="183">
        <f>(F219-F207)/F207</f>
        <v>5.0878115587531449E-2</v>
      </c>
      <c r="N209" s="183">
        <f>(G219-G207)/G207</f>
        <v>5.0696308501328891E-2</v>
      </c>
    </row>
    <row r="210" spans="1:14" x14ac:dyDescent="0.2">
      <c r="A210" s="179"/>
      <c r="B210" s="163" t="s">
        <v>88</v>
      </c>
      <c r="C210" s="248" t="s">
        <v>279</v>
      </c>
      <c r="D210" s="167" t="s">
        <v>154</v>
      </c>
      <c r="E210" s="238"/>
      <c r="F210" s="238"/>
      <c r="G210" s="238"/>
      <c r="K210" s="182"/>
      <c r="L210" s="183"/>
      <c r="M210" s="183"/>
    </row>
    <row r="211" spans="1:14" x14ac:dyDescent="0.2">
      <c r="B211" s="163" t="s">
        <v>88</v>
      </c>
      <c r="C211" s="164" t="s">
        <v>280</v>
      </c>
      <c r="D211" s="165" t="s">
        <v>506</v>
      </c>
      <c r="E211" s="255"/>
      <c r="F211" s="255"/>
      <c r="G211" s="255"/>
    </row>
    <row r="212" spans="1:14" x14ac:dyDescent="0.2">
      <c r="B212" s="163" t="s">
        <v>88</v>
      </c>
      <c r="C212" s="164" t="s">
        <v>957</v>
      </c>
      <c r="D212" s="167" t="s">
        <v>954</v>
      </c>
      <c r="E212" s="255"/>
      <c r="F212" s="255"/>
      <c r="G212" s="255"/>
    </row>
    <row r="213" spans="1:14" x14ac:dyDescent="0.2">
      <c r="A213" s="428"/>
      <c r="B213" s="428" t="s">
        <v>88</v>
      </c>
      <c r="C213" s="167" t="s">
        <v>1028</v>
      </c>
      <c r="D213" s="167" t="s">
        <v>1027</v>
      </c>
      <c r="E213" s="255"/>
      <c r="F213" s="255"/>
      <c r="G213" s="255"/>
    </row>
    <row r="214" spans="1:14" x14ac:dyDescent="0.2">
      <c r="B214" s="163" t="s">
        <v>88</v>
      </c>
      <c r="C214" s="164" t="s">
        <v>213</v>
      </c>
      <c r="D214" s="252" t="s">
        <v>46</v>
      </c>
      <c r="E214" s="250"/>
      <c r="G214" s="250"/>
    </row>
    <row r="215" spans="1:14" x14ac:dyDescent="0.2">
      <c r="B215" s="163" t="s">
        <v>88</v>
      </c>
      <c r="C215" s="248" t="s">
        <v>273</v>
      </c>
      <c r="D215" s="167" t="s">
        <v>151</v>
      </c>
      <c r="E215" s="250"/>
      <c r="F215" s="251"/>
      <c r="G215" s="250"/>
    </row>
    <row r="216" spans="1:14" x14ac:dyDescent="0.2">
      <c r="B216" s="163" t="s">
        <v>88</v>
      </c>
      <c r="C216" s="248" t="s">
        <v>274</v>
      </c>
      <c r="D216" s="252" t="s">
        <v>152</v>
      </c>
      <c r="E216" s="250"/>
      <c r="F216" s="251"/>
      <c r="G216" s="250"/>
    </row>
    <row r="217" spans="1:14" x14ac:dyDescent="0.2">
      <c r="A217" s="426"/>
      <c r="B217" s="426" t="s">
        <v>88</v>
      </c>
      <c r="C217" s="167" t="s">
        <v>963</v>
      </c>
      <c r="D217" s="167" t="s">
        <v>1026</v>
      </c>
      <c r="E217" s="427"/>
      <c r="G217" s="427"/>
    </row>
    <row r="218" spans="1:14" x14ac:dyDescent="0.2">
      <c r="C218" s="248"/>
      <c r="D218" s="252"/>
      <c r="E218" s="250"/>
      <c r="G218" s="250"/>
      <c r="I218" s="439"/>
    </row>
    <row r="219" spans="1:14" x14ac:dyDescent="0.2">
      <c r="A219" s="179" t="s">
        <v>73</v>
      </c>
      <c r="B219" s="163" t="s">
        <v>88</v>
      </c>
      <c r="C219" s="164" t="s">
        <v>409</v>
      </c>
      <c r="D219" s="252" t="s">
        <v>410</v>
      </c>
      <c r="E219" s="238">
        <f>E220/12</f>
        <v>7741.52</v>
      </c>
      <c r="F219" s="238">
        <f>F220/12</f>
        <v>9211.350833333332</v>
      </c>
      <c r="G219" s="238">
        <f>G220/12</f>
        <v>10681.181666666665</v>
      </c>
      <c r="H219" s="167" t="s">
        <v>10</v>
      </c>
      <c r="K219" s="182" t="s">
        <v>455</v>
      </c>
      <c r="L219" s="183">
        <f>(F219-E219)/E219</f>
        <v>0.18986333863806223</v>
      </c>
      <c r="M219" s="183">
        <f>(G219-F219)/F219</f>
        <v>0.15956734901621833</v>
      </c>
    </row>
    <row r="220" spans="1:14" x14ac:dyDescent="0.2">
      <c r="B220" s="163" t="s">
        <v>88</v>
      </c>
      <c r="C220" s="248" t="s">
        <v>277</v>
      </c>
      <c r="D220" s="165" t="s">
        <v>779</v>
      </c>
      <c r="E220" s="249">
        <f>ROUND(89982.7953724544*$L$1,2)</f>
        <v>92898.240000000005</v>
      </c>
      <c r="F220" s="170">
        <f>(E220+G220)/2</f>
        <v>110536.20999999999</v>
      </c>
      <c r="G220" s="249">
        <f>ROUND(124151.662083277*$L$1,2)</f>
        <v>128174.18</v>
      </c>
      <c r="H220" s="167" t="s">
        <v>520</v>
      </c>
      <c r="K220" s="182" t="s">
        <v>456</v>
      </c>
      <c r="L220" s="183">
        <f>(G219-E219)/E219</f>
        <v>0.37972667727612469</v>
      </c>
    </row>
    <row r="221" spans="1:14" x14ac:dyDescent="0.2">
      <c r="B221" s="163" t="s">
        <v>88</v>
      </c>
      <c r="C221" s="248" t="s">
        <v>282</v>
      </c>
      <c r="D221" s="167" t="s">
        <v>156</v>
      </c>
      <c r="E221" s="166">
        <f>E220/2080</f>
        <v>44.662615384615385</v>
      </c>
      <c r="F221" s="166">
        <f>F220/2080</f>
        <v>53.142408653846147</v>
      </c>
      <c r="G221" s="166">
        <f>G220/2080</f>
        <v>61.622201923076922</v>
      </c>
      <c r="H221" s="167" t="s">
        <v>11</v>
      </c>
      <c r="K221" s="182" t="s">
        <v>457</v>
      </c>
      <c r="L221" s="183">
        <f>(E248-E219)/E219</f>
        <v>5.0772328948320143E-2</v>
      </c>
      <c r="M221" s="183">
        <f>(F248-F219)/F219</f>
        <v>5.0876586052661023E-2</v>
      </c>
      <c r="N221" s="183">
        <f>(G248-G219)/G219</f>
        <v>5.0952149645115852E-2</v>
      </c>
    </row>
    <row r="222" spans="1:14" x14ac:dyDescent="0.2">
      <c r="B222" s="163" t="s">
        <v>88</v>
      </c>
      <c r="C222" s="248" t="s">
        <v>283</v>
      </c>
      <c r="D222" s="165" t="s">
        <v>482</v>
      </c>
      <c r="E222" s="250"/>
      <c r="G222" s="250"/>
    </row>
    <row r="223" spans="1:14" x14ac:dyDescent="0.2">
      <c r="B223" s="163" t="s">
        <v>88</v>
      </c>
      <c r="C223" s="164" t="s">
        <v>857</v>
      </c>
      <c r="D223" s="167" t="s">
        <v>858</v>
      </c>
      <c r="E223" s="250"/>
      <c r="F223" s="251"/>
      <c r="G223" s="250"/>
    </row>
    <row r="224" spans="1:14" x14ac:dyDescent="0.2">
      <c r="A224" s="392"/>
      <c r="B224" s="392" t="s">
        <v>88</v>
      </c>
      <c r="C224" s="164" t="s">
        <v>1004</v>
      </c>
      <c r="D224" s="252" t="s">
        <v>1002</v>
      </c>
      <c r="E224" s="393"/>
      <c r="F224" s="251"/>
      <c r="G224" s="393"/>
    </row>
    <row r="225" spans="1:7" x14ac:dyDescent="0.2">
      <c r="B225" s="163" t="s">
        <v>88</v>
      </c>
      <c r="C225" s="248" t="s">
        <v>285</v>
      </c>
      <c r="D225" s="252" t="s">
        <v>155</v>
      </c>
      <c r="E225" s="250"/>
      <c r="G225" s="250"/>
    </row>
    <row r="226" spans="1:7" x14ac:dyDescent="0.2">
      <c r="B226" s="163" t="s">
        <v>88</v>
      </c>
      <c r="C226" s="392" t="s">
        <v>278</v>
      </c>
      <c r="D226" s="167" t="s">
        <v>385</v>
      </c>
      <c r="E226" s="250"/>
      <c r="G226" s="250"/>
    </row>
    <row r="227" spans="1:7" x14ac:dyDescent="0.2">
      <c r="B227" s="163" t="s">
        <v>88</v>
      </c>
      <c r="C227" s="248" t="s">
        <v>286</v>
      </c>
      <c r="D227" s="167" t="s">
        <v>159</v>
      </c>
      <c r="E227" s="250"/>
      <c r="G227" s="250"/>
    </row>
    <row r="228" spans="1:7" x14ac:dyDescent="0.2">
      <c r="B228" s="163" t="s">
        <v>88</v>
      </c>
      <c r="C228" s="248" t="s">
        <v>287</v>
      </c>
      <c r="D228" s="167" t="s">
        <v>158</v>
      </c>
      <c r="E228" s="250"/>
      <c r="G228" s="250"/>
    </row>
    <row r="229" spans="1:7" x14ac:dyDescent="0.2">
      <c r="B229" s="163" t="s">
        <v>88</v>
      </c>
      <c r="C229" s="248" t="s">
        <v>288</v>
      </c>
      <c r="D229" s="167" t="s">
        <v>51</v>
      </c>
      <c r="E229" s="250"/>
      <c r="G229" s="250"/>
    </row>
    <row r="230" spans="1:7" x14ac:dyDescent="0.2">
      <c r="B230" s="163" t="s">
        <v>88</v>
      </c>
      <c r="C230" s="164" t="s">
        <v>768</v>
      </c>
      <c r="D230" s="167" t="s">
        <v>903</v>
      </c>
      <c r="E230" s="250"/>
      <c r="G230" s="250"/>
    </row>
    <row r="231" spans="1:7" x14ac:dyDescent="0.2">
      <c r="B231" s="163" t="s">
        <v>88</v>
      </c>
      <c r="C231" s="164" t="s">
        <v>886</v>
      </c>
      <c r="D231" s="167" t="s">
        <v>887</v>
      </c>
      <c r="E231" s="250"/>
      <c r="G231" s="250"/>
    </row>
    <row r="232" spans="1:7" x14ac:dyDescent="0.2">
      <c r="B232" s="163" t="s">
        <v>88</v>
      </c>
      <c r="C232" s="164" t="s">
        <v>831</v>
      </c>
      <c r="D232" s="167" t="s">
        <v>832</v>
      </c>
      <c r="E232" s="250"/>
      <c r="G232" s="250"/>
    </row>
    <row r="233" spans="1:7" x14ac:dyDescent="0.2">
      <c r="B233" s="163" t="s">
        <v>88</v>
      </c>
      <c r="C233" s="164" t="s">
        <v>729</v>
      </c>
      <c r="D233" s="167" t="s">
        <v>730</v>
      </c>
      <c r="E233" s="250"/>
      <c r="G233" s="250"/>
    </row>
    <row r="234" spans="1:7" x14ac:dyDescent="0.2">
      <c r="A234" s="551"/>
      <c r="B234" s="551" t="s">
        <v>88</v>
      </c>
      <c r="C234" s="164" t="s">
        <v>1116</v>
      </c>
      <c r="D234" s="167" t="s">
        <v>1103</v>
      </c>
      <c r="E234" s="550"/>
      <c r="G234" s="550"/>
    </row>
    <row r="235" spans="1:7" x14ac:dyDescent="0.2">
      <c r="B235" s="163" t="s">
        <v>88</v>
      </c>
      <c r="C235" s="164" t="s">
        <v>731</v>
      </c>
      <c r="D235" s="167" t="s">
        <v>732</v>
      </c>
      <c r="E235" s="250"/>
      <c r="G235" s="250"/>
    </row>
    <row r="236" spans="1:7" x14ac:dyDescent="0.2">
      <c r="A236" s="551"/>
      <c r="B236" s="551" t="s">
        <v>88</v>
      </c>
      <c r="C236" s="164" t="s">
        <v>1106</v>
      </c>
      <c r="D236" s="167" t="s">
        <v>1107</v>
      </c>
      <c r="E236" s="550"/>
      <c r="G236" s="550"/>
    </row>
    <row r="237" spans="1:7" x14ac:dyDescent="0.2">
      <c r="B237" s="163" t="s">
        <v>88</v>
      </c>
      <c r="C237" s="164" t="s">
        <v>922</v>
      </c>
      <c r="D237" s="167" t="s">
        <v>923</v>
      </c>
      <c r="E237" s="250"/>
      <c r="G237" s="250"/>
    </row>
    <row r="238" spans="1:7" x14ac:dyDescent="0.2">
      <c r="B238" s="163" t="s">
        <v>88</v>
      </c>
      <c r="C238" s="248" t="s">
        <v>289</v>
      </c>
      <c r="D238" s="167" t="s">
        <v>52</v>
      </c>
      <c r="E238" s="250"/>
      <c r="G238" s="250"/>
    </row>
    <row r="239" spans="1:7" x14ac:dyDescent="0.2">
      <c r="B239" s="163" t="s">
        <v>88</v>
      </c>
      <c r="C239" s="248" t="s">
        <v>290</v>
      </c>
      <c r="D239" s="167" t="s">
        <v>160</v>
      </c>
      <c r="E239" s="250"/>
      <c r="G239" s="250"/>
    </row>
    <row r="240" spans="1:7" x14ac:dyDescent="0.2">
      <c r="A240" s="551"/>
      <c r="B240" s="551" t="s">
        <v>88</v>
      </c>
      <c r="C240" s="248" t="s">
        <v>1104</v>
      </c>
      <c r="D240" s="167" t="s">
        <v>1105</v>
      </c>
      <c r="E240" s="550"/>
      <c r="G240" s="550"/>
    </row>
    <row r="241" spans="1:14" x14ac:dyDescent="0.2">
      <c r="B241" s="163" t="s">
        <v>88</v>
      </c>
      <c r="C241" s="164" t="s">
        <v>859</v>
      </c>
      <c r="D241" s="167" t="s">
        <v>860</v>
      </c>
      <c r="E241" s="250"/>
      <c r="G241" s="250"/>
    </row>
    <row r="242" spans="1:14" x14ac:dyDescent="0.2">
      <c r="B242" s="163" t="s">
        <v>88</v>
      </c>
      <c r="C242" s="164" t="s">
        <v>874</v>
      </c>
      <c r="D242" s="252" t="s">
        <v>875</v>
      </c>
      <c r="E242" s="250"/>
      <c r="G242" s="250"/>
    </row>
    <row r="243" spans="1:14" x14ac:dyDescent="0.2">
      <c r="B243" s="163" t="s">
        <v>88</v>
      </c>
      <c r="C243" s="164" t="s">
        <v>913</v>
      </c>
      <c r="D243" s="252" t="s">
        <v>914</v>
      </c>
      <c r="E243" s="250"/>
      <c r="G243" s="250"/>
    </row>
    <row r="244" spans="1:14" x14ac:dyDescent="0.2">
      <c r="B244" s="163" t="s">
        <v>88</v>
      </c>
      <c r="C244" s="164" t="s">
        <v>917</v>
      </c>
      <c r="D244" s="252" t="s">
        <v>918</v>
      </c>
      <c r="E244" s="250"/>
      <c r="G244" s="250"/>
    </row>
    <row r="245" spans="1:14" x14ac:dyDescent="0.2">
      <c r="A245" s="551"/>
      <c r="B245" s="551" t="s">
        <v>88</v>
      </c>
      <c r="C245" s="164" t="s">
        <v>1096</v>
      </c>
      <c r="D245" s="252" t="s">
        <v>1097</v>
      </c>
      <c r="E245" s="550"/>
      <c r="G245" s="550"/>
    </row>
    <row r="246" spans="1:14" x14ac:dyDescent="0.2">
      <c r="B246" s="163" t="s">
        <v>88</v>
      </c>
      <c r="C246" s="164" t="s">
        <v>595</v>
      </c>
      <c r="D246" s="252" t="s">
        <v>611</v>
      </c>
      <c r="E246" s="250"/>
      <c r="G246" s="250"/>
    </row>
    <row r="247" spans="1:14" x14ac:dyDescent="0.2">
      <c r="C247" s="164"/>
      <c r="D247" s="252"/>
      <c r="E247" s="250"/>
      <c r="G247" s="250"/>
    </row>
    <row r="248" spans="1:14" x14ac:dyDescent="0.2">
      <c r="A248" s="179" t="s">
        <v>74</v>
      </c>
      <c r="B248" s="163" t="s">
        <v>88</v>
      </c>
      <c r="C248" s="164" t="s">
        <v>958</v>
      </c>
      <c r="D248" s="252" t="s">
        <v>953</v>
      </c>
      <c r="E248" s="238">
        <f>E249/12</f>
        <v>8134.5749999999998</v>
      </c>
      <c r="F248" s="238">
        <f>F249/12</f>
        <v>9679.9929166666661</v>
      </c>
      <c r="G248" s="238">
        <f>G249/12</f>
        <v>11225.410833333333</v>
      </c>
      <c r="H248" s="167" t="s">
        <v>10</v>
      </c>
      <c r="K248" s="182" t="s">
        <v>455</v>
      </c>
      <c r="L248" s="183">
        <f>(F248-E248)/E248</f>
        <v>0.18998139628273958</v>
      </c>
      <c r="M248" s="183">
        <f>(G248-F248)/F248</f>
        <v>0.15965072805020569</v>
      </c>
    </row>
    <row r="249" spans="1:14" x14ac:dyDescent="0.2">
      <c r="B249" s="163" t="s">
        <v>88</v>
      </c>
      <c r="C249" s="163" t="s">
        <v>770</v>
      </c>
      <c r="D249" s="167" t="s">
        <v>771</v>
      </c>
      <c r="E249" s="249">
        <f>ROUND(94551.4300382678*$L$1,2)</f>
        <v>97614.9</v>
      </c>
      <c r="F249" s="170">
        <f>(E249+G249)/2</f>
        <v>116159.91499999999</v>
      </c>
      <c r="G249" s="249">
        <f>ROUND(130477.456883283*$L$1,2)</f>
        <v>134704.93</v>
      </c>
      <c r="H249" s="167" t="s">
        <v>520</v>
      </c>
      <c r="K249" s="182" t="s">
        <v>456</v>
      </c>
      <c r="L249" s="183">
        <f>(G248-E248)/E248</f>
        <v>0.37996279256547927</v>
      </c>
    </row>
    <row r="250" spans="1:14" x14ac:dyDescent="0.2">
      <c r="B250" s="163" t="s">
        <v>88</v>
      </c>
      <c r="C250" s="164" t="s">
        <v>291</v>
      </c>
      <c r="D250" s="252" t="s">
        <v>921</v>
      </c>
      <c r="E250" s="166">
        <f>E249/2080</f>
        <v>46.930240384615381</v>
      </c>
      <c r="F250" s="166">
        <f>F249/2080</f>
        <v>55.846112980769227</v>
      </c>
      <c r="G250" s="166">
        <f>G249/2080</f>
        <v>64.761985576923067</v>
      </c>
      <c r="H250" s="167" t="s">
        <v>11</v>
      </c>
      <c r="K250" s="182" t="s">
        <v>457</v>
      </c>
      <c r="L250" s="183">
        <f>(E262-E248)/E248</f>
        <v>5.0853097221838138E-2</v>
      </c>
      <c r="M250" s="183">
        <f>(F262-F248)/F248</f>
        <v>5.0826913914322425E-2</v>
      </c>
      <c r="N250" s="183">
        <f>(G262-G248)/G248</f>
        <v>5.0807939991505895E-2</v>
      </c>
    </row>
    <row r="251" spans="1:14" x14ac:dyDescent="0.2">
      <c r="B251" s="163" t="s">
        <v>88</v>
      </c>
      <c r="C251" s="164" t="s">
        <v>418</v>
      </c>
      <c r="D251" s="167" t="s">
        <v>419</v>
      </c>
      <c r="E251" s="250"/>
      <c r="K251" s="182"/>
      <c r="L251" s="183"/>
      <c r="M251" s="183"/>
      <c r="N251" s="183"/>
    </row>
    <row r="252" spans="1:14" x14ac:dyDescent="0.2">
      <c r="B252" s="163" t="s">
        <v>88</v>
      </c>
      <c r="C252" s="164" t="s">
        <v>497</v>
      </c>
      <c r="D252" s="167" t="s">
        <v>498</v>
      </c>
      <c r="E252" s="250"/>
      <c r="F252" s="251"/>
      <c r="G252" s="250"/>
    </row>
    <row r="253" spans="1:14" x14ac:dyDescent="0.2">
      <c r="A253" s="551"/>
      <c r="B253" s="551" t="s">
        <v>88</v>
      </c>
      <c r="C253" s="164" t="s">
        <v>1102</v>
      </c>
      <c r="D253" s="167" t="s">
        <v>1162</v>
      </c>
      <c r="E253" s="550"/>
      <c r="F253" s="251"/>
      <c r="G253" s="550"/>
    </row>
    <row r="254" spans="1:14" x14ac:dyDescent="0.2">
      <c r="B254" s="163" t="s">
        <v>88</v>
      </c>
      <c r="C254" s="164" t="s">
        <v>293</v>
      </c>
      <c r="D254" s="165" t="s">
        <v>499</v>
      </c>
      <c r="E254" s="250"/>
      <c r="F254" s="251"/>
      <c r="G254" s="250"/>
    </row>
    <row r="255" spans="1:14" x14ac:dyDescent="0.2">
      <c r="B255" s="163" t="s">
        <v>88</v>
      </c>
      <c r="C255" s="164" t="s">
        <v>733</v>
      </c>
      <c r="D255" s="252" t="s">
        <v>734</v>
      </c>
      <c r="E255" s="250"/>
      <c r="F255" s="251"/>
      <c r="G255" s="250"/>
    </row>
    <row r="256" spans="1:14" x14ac:dyDescent="0.2">
      <c r="B256" s="163" t="s">
        <v>88</v>
      </c>
      <c r="C256" s="164" t="s">
        <v>735</v>
      </c>
      <c r="D256" s="252" t="s">
        <v>756</v>
      </c>
      <c r="E256" s="250"/>
      <c r="G256" s="250"/>
    </row>
    <row r="257" spans="1:14" x14ac:dyDescent="0.2">
      <c r="B257" s="163" t="s">
        <v>88</v>
      </c>
      <c r="C257" s="248" t="s">
        <v>281</v>
      </c>
      <c r="D257" s="252" t="s">
        <v>49</v>
      </c>
      <c r="E257" s="250"/>
      <c r="F257" s="251"/>
      <c r="G257" s="250"/>
    </row>
    <row r="258" spans="1:14" x14ac:dyDescent="0.2">
      <c r="B258" s="163" t="s">
        <v>88</v>
      </c>
      <c r="C258" s="248" t="s">
        <v>294</v>
      </c>
      <c r="D258" s="167" t="s">
        <v>161</v>
      </c>
      <c r="E258" s="250"/>
      <c r="G258" s="250"/>
    </row>
    <row r="259" spans="1:14" x14ac:dyDescent="0.2">
      <c r="B259" s="163" t="s">
        <v>88</v>
      </c>
      <c r="C259" s="248" t="s">
        <v>295</v>
      </c>
      <c r="D259" s="167" t="s">
        <v>163</v>
      </c>
      <c r="E259" s="250"/>
      <c r="G259" s="250"/>
    </row>
    <row r="260" spans="1:14" x14ac:dyDescent="0.2">
      <c r="B260" s="163" t="s">
        <v>88</v>
      </c>
      <c r="C260" s="248" t="s">
        <v>296</v>
      </c>
      <c r="D260" s="167" t="s">
        <v>162</v>
      </c>
      <c r="E260" s="250"/>
      <c r="G260" s="250"/>
    </row>
    <row r="261" spans="1:14" x14ac:dyDescent="0.2">
      <c r="C261" s="179"/>
      <c r="E261" s="250"/>
      <c r="G261" s="250"/>
    </row>
    <row r="262" spans="1:14" x14ac:dyDescent="0.2">
      <c r="A262" s="179" t="s">
        <v>75</v>
      </c>
      <c r="B262" s="163" t="s">
        <v>88</v>
      </c>
      <c r="C262" s="248" t="s">
        <v>298</v>
      </c>
      <c r="D262" s="167" t="s">
        <v>165</v>
      </c>
      <c r="E262" s="238">
        <f>E263/12</f>
        <v>8548.2433333333338</v>
      </c>
      <c r="F262" s="238">
        <f>F263/12</f>
        <v>10171.997083333334</v>
      </c>
      <c r="G262" s="238">
        <f>G263/12</f>
        <v>11795.750833333334</v>
      </c>
      <c r="H262" s="167" t="s">
        <v>10</v>
      </c>
      <c r="K262" s="182" t="s">
        <v>455</v>
      </c>
      <c r="L262" s="183">
        <f>(F262-E262)/E262</f>
        <v>0.1899517464211945</v>
      </c>
      <c r="M262" s="183">
        <f>(G262-F262)/F262</f>
        <v>0.15962978918471146</v>
      </c>
    </row>
    <row r="263" spans="1:14" x14ac:dyDescent="0.2">
      <c r="B263" s="163" t="s">
        <v>88</v>
      </c>
      <c r="C263" s="248" t="s">
        <v>299</v>
      </c>
      <c r="D263" s="252" t="s">
        <v>166</v>
      </c>
      <c r="E263" s="249">
        <f>ROUND(99359.6685582696*$L$1,2)</f>
        <v>102578.92</v>
      </c>
      <c r="F263" s="170">
        <f>(E263+G263)/2</f>
        <v>122063.965</v>
      </c>
      <c r="G263" s="249">
        <f>ROUND(137106.753655373*$L$1,2)</f>
        <v>141549.01</v>
      </c>
      <c r="H263" s="167" t="s">
        <v>520</v>
      </c>
      <c r="K263" s="182" t="s">
        <v>456</v>
      </c>
      <c r="L263" s="183">
        <f>(G262-E262)/E262</f>
        <v>0.379903492842389</v>
      </c>
    </row>
    <row r="264" spans="1:14" x14ac:dyDescent="0.2">
      <c r="B264" s="163" t="s">
        <v>88</v>
      </c>
      <c r="C264" s="164" t="s">
        <v>736</v>
      </c>
      <c r="D264" s="252" t="s">
        <v>745</v>
      </c>
      <c r="E264" s="166">
        <f>E263/2080</f>
        <v>49.316788461538458</v>
      </c>
      <c r="F264" s="166">
        <f>F263/2080</f>
        <v>58.684598557692304</v>
      </c>
      <c r="G264" s="166">
        <f>G263/2080</f>
        <v>68.052408653846157</v>
      </c>
      <c r="H264" s="167" t="s">
        <v>11</v>
      </c>
      <c r="K264" s="182" t="s">
        <v>457</v>
      </c>
      <c r="L264" s="183">
        <f>(E271-E262)/E262</f>
        <v>5.0643056097685525E-2</v>
      </c>
      <c r="M264" s="183">
        <f>(F271-F262)/F262</f>
        <v>5.0868042833116155E-2</v>
      </c>
    </row>
    <row r="265" spans="1:14" x14ac:dyDescent="0.2">
      <c r="B265" s="163" t="s">
        <v>88</v>
      </c>
      <c r="C265" s="164" t="s">
        <v>737</v>
      </c>
      <c r="D265" s="167" t="s">
        <v>738</v>
      </c>
      <c r="E265" s="255"/>
      <c r="F265" s="255"/>
      <c r="G265" s="255"/>
      <c r="N265" s="183">
        <f>(G271-G262)/G262</f>
        <v>5.103108810156997E-2</v>
      </c>
    </row>
    <row r="266" spans="1:14" x14ac:dyDescent="0.2">
      <c r="B266" s="163" t="s">
        <v>88</v>
      </c>
      <c r="C266" s="164" t="s">
        <v>758</v>
      </c>
      <c r="D266" s="167" t="s">
        <v>759</v>
      </c>
      <c r="E266" s="255"/>
      <c r="F266" s="255"/>
      <c r="G266" s="255"/>
      <c r="N266" s="183"/>
    </row>
    <row r="267" spans="1:14" x14ac:dyDescent="0.2">
      <c r="B267" s="163" t="s">
        <v>88</v>
      </c>
      <c r="C267" s="164" t="s">
        <v>539</v>
      </c>
      <c r="D267" s="165" t="s">
        <v>906</v>
      </c>
      <c r="E267" s="250"/>
      <c r="F267" s="251"/>
      <c r="G267" s="250"/>
    </row>
    <row r="268" spans="1:14" x14ac:dyDescent="0.2">
      <c r="A268" s="399"/>
      <c r="B268" s="399" t="s">
        <v>88</v>
      </c>
      <c r="C268" s="164" t="s">
        <v>1009</v>
      </c>
      <c r="D268" s="165" t="s">
        <v>1010</v>
      </c>
      <c r="E268" s="400"/>
      <c r="F268" s="251"/>
      <c r="G268" s="400"/>
    </row>
    <row r="269" spans="1:14" x14ac:dyDescent="0.2">
      <c r="B269" s="163" t="s">
        <v>88</v>
      </c>
      <c r="C269" s="164" t="s">
        <v>960</v>
      </c>
      <c r="D269" s="165" t="s">
        <v>955</v>
      </c>
      <c r="E269" s="250"/>
      <c r="F269" s="251"/>
      <c r="G269" s="250"/>
    </row>
    <row r="270" spans="1:14" x14ac:dyDescent="0.2">
      <c r="E270" s="250"/>
      <c r="F270" s="251"/>
      <c r="G270" s="250"/>
    </row>
    <row r="271" spans="1:14" x14ac:dyDescent="0.2">
      <c r="A271" s="179" t="s">
        <v>76</v>
      </c>
      <c r="B271" s="163" t="s">
        <v>88</v>
      </c>
      <c r="C271" s="248" t="s">
        <v>297</v>
      </c>
      <c r="D271" s="167" t="s">
        <v>167</v>
      </c>
      <c r="E271" s="238">
        <f>E272/12</f>
        <v>8981.1525000000001</v>
      </c>
      <c r="F271" s="238">
        <f>F272/12</f>
        <v>10689.426666666666</v>
      </c>
      <c r="G271" s="238">
        <f>G272/12</f>
        <v>12397.700833333334</v>
      </c>
      <c r="H271" s="167" t="s">
        <v>10</v>
      </c>
      <c r="K271" s="182" t="s">
        <v>455</v>
      </c>
      <c r="L271" s="183">
        <f>(F271-E271)/E271</f>
        <v>0.19020656498892163</v>
      </c>
      <c r="M271" s="183">
        <f>(G271-F271)/F271</f>
        <v>0.15980970915808407</v>
      </c>
    </row>
    <row r="272" spans="1:14" s="429" customFormat="1" x14ac:dyDescent="0.2">
      <c r="A272" s="430"/>
      <c r="B272" s="248" t="s">
        <v>88</v>
      </c>
      <c r="C272" s="167" t="s">
        <v>959</v>
      </c>
      <c r="D272" s="554" t="s">
        <v>929</v>
      </c>
      <c r="E272" s="249">
        <f>ROUND(104391.545002108*$L$1,2)</f>
        <v>107773.83</v>
      </c>
      <c r="F272" s="170">
        <f>(E272+G272)/2</f>
        <v>128273.12</v>
      </c>
      <c r="G272" s="249">
        <f>ROUND(144103.462226888*$L$1,2)</f>
        <v>148772.41</v>
      </c>
      <c r="H272" s="167" t="s">
        <v>520</v>
      </c>
      <c r="K272" s="431"/>
      <c r="L272" s="432"/>
      <c r="M272" s="432"/>
      <c r="N272" s="432"/>
    </row>
    <row r="273" spans="1:14" x14ac:dyDescent="0.2">
      <c r="B273" s="163" t="s">
        <v>88</v>
      </c>
      <c r="C273" s="164" t="s">
        <v>882</v>
      </c>
      <c r="D273" s="167" t="s">
        <v>883</v>
      </c>
      <c r="E273" s="166">
        <f>E272/2080</f>
        <v>51.814341346153846</v>
      </c>
      <c r="F273" s="166">
        <f>F272/2080</f>
        <v>61.669769230769226</v>
      </c>
      <c r="G273" s="166">
        <f>G272/2080</f>
        <v>71.525197115384614</v>
      </c>
      <c r="H273" s="167" t="s">
        <v>11</v>
      </c>
      <c r="K273" s="182" t="s">
        <v>456</v>
      </c>
      <c r="L273" s="183">
        <f>(G271-E271)/E271</f>
        <v>0.38041312997784349</v>
      </c>
    </row>
    <row r="274" spans="1:14" x14ac:dyDescent="0.2">
      <c r="B274" s="163" t="s">
        <v>88</v>
      </c>
      <c r="C274" s="248" t="s">
        <v>301</v>
      </c>
      <c r="D274" s="165" t="s">
        <v>500</v>
      </c>
      <c r="K274" s="182"/>
      <c r="L274" s="183"/>
    </row>
    <row r="275" spans="1:14" x14ac:dyDescent="0.2">
      <c r="B275" s="163" t="s">
        <v>88</v>
      </c>
      <c r="C275" s="164" t="s">
        <v>739</v>
      </c>
      <c r="D275" s="252" t="s">
        <v>740</v>
      </c>
      <c r="E275" s="167"/>
      <c r="F275" s="167"/>
      <c r="G275" s="167"/>
      <c r="K275" s="182"/>
      <c r="L275" s="183"/>
    </row>
    <row r="276" spans="1:14" x14ac:dyDescent="0.2">
      <c r="B276" s="163" t="s">
        <v>88</v>
      </c>
      <c r="C276" s="164" t="s">
        <v>741</v>
      </c>
      <c r="D276" s="252" t="s">
        <v>742</v>
      </c>
      <c r="E276" s="249"/>
      <c r="G276" s="249"/>
      <c r="K276" s="182"/>
      <c r="L276" s="183"/>
    </row>
    <row r="277" spans="1:14" x14ac:dyDescent="0.2">
      <c r="B277" s="163" t="s">
        <v>88</v>
      </c>
      <c r="C277" s="164" t="s">
        <v>743</v>
      </c>
      <c r="D277" s="252" t="s">
        <v>744</v>
      </c>
      <c r="E277" s="249"/>
      <c r="G277" s="249"/>
      <c r="K277" s="182"/>
      <c r="L277" s="183"/>
    </row>
    <row r="278" spans="1:14" x14ac:dyDescent="0.2">
      <c r="B278" s="163" t="s">
        <v>88</v>
      </c>
      <c r="C278" s="248" t="s">
        <v>300</v>
      </c>
      <c r="D278" s="167" t="s">
        <v>168</v>
      </c>
      <c r="E278" s="250"/>
      <c r="G278" s="250"/>
    </row>
    <row r="279" spans="1:14" x14ac:dyDescent="0.2">
      <c r="E279" s="250"/>
      <c r="G279" s="250"/>
    </row>
    <row r="280" spans="1:14" x14ac:dyDescent="0.2">
      <c r="C280" s="179"/>
      <c r="D280" s="165"/>
      <c r="E280" s="250"/>
      <c r="G280" s="250"/>
      <c r="K280" s="182"/>
      <c r="L280" s="183"/>
      <c r="M280" s="183"/>
      <c r="N280" s="183"/>
    </row>
    <row r="281" spans="1:14" x14ac:dyDescent="0.2">
      <c r="C281" s="179"/>
      <c r="D281" s="165"/>
      <c r="E281" s="250"/>
      <c r="G281" s="250"/>
      <c r="K281" s="182"/>
      <c r="L281" s="183"/>
      <c r="M281" s="183"/>
      <c r="N281" s="183"/>
    </row>
    <row r="282" spans="1:14" x14ac:dyDescent="0.2">
      <c r="A282" s="704" t="s">
        <v>901</v>
      </c>
      <c r="B282" s="704"/>
      <c r="C282" s="704"/>
      <c r="D282" s="704"/>
      <c r="E282" s="704"/>
      <c r="F282" s="704"/>
      <c r="G282" s="704"/>
      <c r="H282" s="704"/>
      <c r="K282" s="182"/>
      <c r="L282" s="183"/>
      <c r="M282" s="183"/>
      <c r="N282" s="183"/>
    </row>
    <row r="283" spans="1:14" x14ac:dyDescent="0.2">
      <c r="A283" s="163" t="s">
        <v>521</v>
      </c>
      <c r="C283" s="179"/>
      <c r="D283" s="165"/>
      <c r="E283" s="238">
        <f>E284/12</f>
        <v>1623.6199640139218</v>
      </c>
      <c r="F283" s="238">
        <f>F284/12</f>
        <v>1932.1655372464581</v>
      </c>
      <c r="G283" s="238">
        <f>G284/12</f>
        <v>2240.7111104789942</v>
      </c>
      <c r="H283" s="167" t="s">
        <v>10</v>
      </c>
      <c r="K283" s="182" t="s">
        <v>455</v>
      </c>
      <c r="L283" s="183">
        <f>(F283-E283)/E283</f>
        <v>0.19003558718861049</v>
      </c>
      <c r="M283" s="183">
        <f>(G283-F283)/F283</f>
        <v>0.15968899521530977</v>
      </c>
      <c r="N283" s="183"/>
    </row>
    <row r="284" spans="1:14" x14ac:dyDescent="0.2">
      <c r="C284" s="179"/>
      <c r="D284" s="165"/>
      <c r="E284" s="249">
        <f>18453.7218868792*1.0558</f>
        <v>19483.439568167061</v>
      </c>
      <c r="F284" s="170">
        <f>(E284+G284)/2</f>
        <v>23185.986446957497</v>
      </c>
      <c r="G284" s="249">
        <f>25467.449636056*1.0558</f>
        <v>26888.533325747929</v>
      </c>
      <c r="H284" s="167" t="s">
        <v>520</v>
      </c>
      <c r="K284" s="182" t="s">
        <v>456</v>
      </c>
      <c r="L284" s="183">
        <f>(G283-E283)/E283</f>
        <v>0.38007117437722088</v>
      </c>
      <c r="N284" s="183"/>
    </row>
    <row r="285" spans="1:14" x14ac:dyDescent="0.2">
      <c r="C285" s="179"/>
      <c r="D285" s="165"/>
      <c r="E285" s="166">
        <f>E284/2080</f>
        <v>9.3670382539264718</v>
      </c>
      <c r="F285" s="166">
        <f>F284/2080</f>
        <v>11.147108868729566</v>
      </c>
      <c r="G285" s="166">
        <f>G284/2080</f>
        <v>12.927179483532658</v>
      </c>
      <c r="H285" s="167" t="s">
        <v>11</v>
      </c>
      <c r="K285" s="182" t="s">
        <v>457</v>
      </c>
      <c r="L285" s="183">
        <f>(E287-E283)/E283</f>
        <v>5.0533807829180689E-2</v>
      </c>
      <c r="M285" s="183">
        <f>(F287-F283)/F283</f>
        <v>5.0538277511962285E-2</v>
      </c>
      <c r="N285" s="183">
        <f>(G287-G283)/G283</f>
        <v>5.0541516245488929E-2</v>
      </c>
    </row>
    <row r="286" spans="1:14" x14ac:dyDescent="0.2">
      <c r="C286" s="179"/>
      <c r="D286" s="165"/>
      <c r="E286" s="250"/>
      <c r="G286" s="250"/>
      <c r="K286" s="182"/>
      <c r="L286" s="183"/>
      <c r="M286" s="183"/>
      <c r="N286" s="183"/>
    </row>
    <row r="287" spans="1:14" x14ac:dyDescent="0.2">
      <c r="A287" s="163" t="s">
        <v>522</v>
      </c>
      <c r="C287" s="179"/>
      <c r="D287" s="165"/>
      <c r="E287" s="238">
        <f>E288/12</f>
        <v>1705.6676632630226</v>
      </c>
      <c r="F287" s="238">
        <f>F288/12</f>
        <v>2029.8138553668693</v>
      </c>
      <c r="G287" s="238">
        <f>G288/12</f>
        <v>2353.9600474707158</v>
      </c>
      <c r="H287" s="167" t="s">
        <v>10</v>
      </c>
      <c r="K287" s="182" t="s">
        <v>455</v>
      </c>
      <c r="L287" s="183">
        <f>(F287-E287)/E287</f>
        <v>0.19004065040650403</v>
      </c>
      <c r="M287" s="183">
        <f>(G287-F287)/F287</f>
        <v>0.15969257045260446</v>
      </c>
      <c r="N287" s="183"/>
    </row>
    <row r="288" spans="1:14" x14ac:dyDescent="0.2">
      <c r="C288" s="179"/>
      <c r="D288" s="165"/>
      <c r="E288" s="249">
        <f>19386.2587224439*1.0558</f>
        <v>20468.011959156272</v>
      </c>
      <c r="F288" s="170">
        <f>(E288+G288)/2</f>
        <v>24357.766264402431</v>
      </c>
      <c r="G288" s="249">
        <f>26754.6131555679*1.0558</f>
        <v>28247.52056964859</v>
      </c>
      <c r="H288" s="167" t="s">
        <v>520</v>
      </c>
      <c r="K288" s="182" t="s">
        <v>456</v>
      </c>
      <c r="L288" s="183">
        <f>(G287-E287)/E287</f>
        <v>0.38008130081300789</v>
      </c>
      <c r="N288" s="183"/>
    </row>
    <row r="289" spans="1:14" x14ac:dyDescent="0.2">
      <c r="C289" s="179"/>
      <c r="D289" s="165"/>
      <c r="E289" s="166">
        <f>E288/2080</f>
        <v>9.8403903649789779</v>
      </c>
      <c r="F289" s="166">
        <f>F288/2080</f>
        <v>11.710464550193477</v>
      </c>
      <c r="G289" s="166">
        <f>G288/2080</f>
        <v>13.580538735407975</v>
      </c>
      <c r="H289" s="167" t="s">
        <v>11</v>
      </c>
      <c r="K289" s="182" t="s">
        <v>457</v>
      </c>
      <c r="L289" s="183">
        <f>(E291-E287)/E287</f>
        <v>5.08130081300813E-2</v>
      </c>
      <c r="M289" s="183">
        <f>(F291-F287)/F287</f>
        <v>5.0668943922572651E-2</v>
      </c>
      <c r="N289" s="183">
        <f>(G291-G287)/G287</f>
        <v>5.0564555719194174E-2</v>
      </c>
    </row>
    <row r="290" spans="1:14" x14ac:dyDescent="0.2">
      <c r="C290" s="179"/>
      <c r="D290" s="165"/>
      <c r="E290" s="250"/>
      <c r="G290" s="250"/>
      <c r="K290" s="182"/>
      <c r="L290" s="183"/>
      <c r="M290" s="183"/>
      <c r="N290" s="183"/>
    </row>
    <row r="291" spans="1:14" x14ac:dyDescent="0.2">
      <c r="A291" s="163" t="s">
        <v>523</v>
      </c>
      <c r="C291" s="179"/>
      <c r="D291" s="165"/>
      <c r="E291" s="238">
        <f>E292/12</f>
        <v>1792.3377681036234</v>
      </c>
      <c r="F291" s="238">
        <f>F292/12</f>
        <v>2132.6623797777142</v>
      </c>
      <c r="G291" s="238">
        <f>G292/12</f>
        <v>2472.9869914518058</v>
      </c>
      <c r="H291" s="167" t="s">
        <v>10</v>
      </c>
      <c r="K291" s="182" t="s">
        <v>455</v>
      </c>
      <c r="L291" s="183">
        <f>(F291-E291)/E291</f>
        <v>0.18987749838813592</v>
      </c>
      <c r="M291" s="183">
        <f>(G291-F291)/F291</f>
        <v>0.15957735031156844</v>
      </c>
      <c r="N291" s="183"/>
    </row>
    <row r="292" spans="1:14" x14ac:dyDescent="0.2">
      <c r="C292" s="179"/>
      <c r="D292" s="165"/>
      <c r="E292" s="249">
        <f>20371.3328445193*1.0558</f>
        <v>21508.05321724348</v>
      </c>
      <c r="F292" s="170">
        <f>(E292+G292)/2</f>
        <v>25591.948557332573</v>
      </c>
      <c r="G292" s="249">
        <f>28107.4482832181*1.0558</f>
        <v>29675.84389742167</v>
      </c>
      <c r="H292" s="167" t="s">
        <v>520</v>
      </c>
      <c r="K292" s="182" t="s">
        <v>456</v>
      </c>
      <c r="L292" s="183">
        <f>(G291-E291)/E291</f>
        <v>0.37975499677627222</v>
      </c>
      <c r="N292" s="183"/>
    </row>
    <row r="293" spans="1:14" x14ac:dyDescent="0.2">
      <c r="C293" s="179"/>
      <c r="D293" s="165"/>
      <c r="E293" s="166">
        <f>E292/2080</f>
        <v>10.340410200597827</v>
      </c>
      <c r="F293" s="166">
        <f>F292/2080</f>
        <v>12.303821421794506</v>
      </c>
      <c r="G293" s="166">
        <f>G292/2080</f>
        <v>14.267232642991187</v>
      </c>
      <c r="H293" s="167" t="s">
        <v>11</v>
      </c>
      <c r="K293" s="182" t="s">
        <v>457</v>
      </c>
      <c r="L293" s="183">
        <f>(E295-E291)/E291</f>
        <v>5.093488072211521E-2</v>
      </c>
      <c r="M293" s="183">
        <f>(F295-F291)/F291</f>
        <v>5.1205635329179149E-2</v>
      </c>
      <c r="N293" s="183">
        <f>(G295-G291)/G291</f>
        <v>5.1401869158877907E-2</v>
      </c>
    </row>
    <row r="294" spans="1:14" x14ac:dyDescent="0.2">
      <c r="C294" s="179"/>
      <c r="D294" s="165"/>
      <c r="E294" s="250"/>
      <c r="G294" s="250"/>
      <c r="K294" s="182"/>
      <c r="L294" s="183"/>
      <c r="M294" s="183"/>
      <c r="N294" s="183"/>
    </row>
    <row r="295" spans="1:14" x14ac:dyDescent="0.2">
      <c r="A295" s="163" t="s">
        <v>524</v>
      </c>
      <c r="C295" s="179"/>
      <c r="D295" s="165"/>
      <c r="E295" s="238">
        <f>E296/12</f>
        <v>1883.6302785357236</v>
      </c>
      <c r="F295" s="238">
        <f>F296/12</f>
        <v>2241.8667118768712</v>
      </c>
      <c r="G295" s="238">
        <f>G296/12</f>
        <v>2600.1031452180187</v>
      </c>
      <c r="H295" s="167" t="s">
        <v>10</v>
      </c>
      <c r="K295" s="182" t="s">
        <v>455</v>
      </c>
      <c r="L295" s="183">
        <f>(F295-E295)/E295</f>
        <v>0.19018404907975339</v>
      </c>
      <c r="M295" s="183">
        <f>(G295-F295)/F295</f>
        <v>0.15979381443298873</v>
      </c>
      <c r="N295" s="183"/>
    </row>
    <row r="296" spans="1:14" x14ac:dyDescent="0.2">
      <c r="C296" s="179"/>
      <c r="D296" s="165"/>
      <c r="E296" s="249">
        <f>21408.9442531054*1.0558</f>
        <v>22603.563342428683</v>
      </c>
      <c r="F296" s="170">
        <f>(E296+G296)/2</f>
        <v>26902.400542522453</v>
      </c>
      <c r="G296" s="249">
        <f>29552.223662262*1.0558</f>
        <v>31201.237742616224</v>
      </c>
      <c r="H296" s="167" t="s">
        <v>520</v>
      </c>
      <c r="K296" s="182" t="s">
        <v>456</v>
      </c>
      <c r="L296" s="183">
        <f>(G295-E295)/E295</f>
        <v>0.38036809815950667</v>
      </c>
      <c r="N296" s="183"/>
    </row>
    <row r="297" spans="1:14" x14ac:dyDescent="0.2">
      <c r="C297" s="179"/>
      <c r="D297" s="165"/>
      <c r="E297" s="166">
        <f>E296/2080</f>
        <v>10.86709776078302</v>
      </c>
      <c r="F297" s="166">
        <f>F296/2080</f>
        <v>12.933846414674257</v>
      </c>
      <c r="G297" s="166">
        <f>G296/2080</f>
        <v>15.000595068565492</v>
      </c>
      <c r="H297" s="167" t="s">
        <v>11</v>
      </c>
      <c r="K297" s="182" t="s">
        <v>457</v>
      </c>
      <c r="L297" s="183">
        <f>(E299-E295)/E295</f>
        <v>5.0920245398769243E-2</v>
      </c>
      <c r="M297" s="183">
        <f>(F299-F295)/F295</f>
        <v>5.1030927835050255E-2</v>
      </c>
      <c r="N297" s="183">
        <f>(G299-G295)/G295</f>
        <v>5.1111111111111614E-2</v>
      </c>
    </row>
    <row r="298" spans="1:14" x14ac:dyDescent="0.2">
      <c r="C298" s="179"/>
      <c r="D298" s="165"/>
      <c r="E298" s="250"/>
      <c r="G298" s="250"/>
      <c r="K298" s="182"/>
      <c r="L298" s="183"/>
      <c r="M298" s="183"/>
      <c r="N298" s="183"/>
    </row>
    <row r="299" spans="1:14" x14ac:dyDescent="0.2">
      <c r="A299" s="163" t="s">
        <v>525</v>
      </c>
      <c r="C299" s="179"/>
      <c r="D299" s="165"/>
      <c r="E299" s="238">
        <f>E300/12</f>
        <v>1979.5451945593147</v>
      </c>
      <c r="F299" s="238">
        <f>F300/12</f>
        <v>2356.2712502664613</v>
      </c>
      <c r="G299" s="238">
        <f>G300/12</f>
        <v>2732.9973059736076</v>
      </c>
      <c r="H299" s="167" t="s">
        <v>10</v>
      </c>
      <c r="K299" s="182" t="s">
        <v>455</v>
      </c>
      <c r="L299" s="183">
        <f>(F299-E299)/E299</f>
        <v>0.19030939871570504</v>
      </c>
      <c r="M299" s="183">
        <f>(G299-F299)/F299</f>
        <v>0.15988229524276709</v>
      </c>
      <c r="N299" s="183"/>
    </row>
    <row r="300" spans="1:14" x14ac:dyDescent="0.2">
      <c r="C300" s="179"/>
      <c r="D300" s="165"/>
      <c r="E300" s="249">
        <v>23754.542334711776</v>
      </c>
      <c r="F300" s="170">
        <v>28275.255003197533</v>
      </c>
      <c r="G300" s="249">
        <v>32795.967671683291</v>
      </c>
      <c r="H300" s="167" t="s">
        <v>520</v>
      </c>
      <c r="K300" s="182" t="s">
        <v>456</v>
      </c>
      <c r="L300" s="183">
        <f>(G299-E299)/E299</f>
        <v>0.38061879743140997</v>
      </c>
      <c r="N300" s="183"/>
    </row>
    <row r="301" spans="1:14" x14ac:dyDescent="0.2">
      <c r="C301" s="179"/>
      <c r="D301" s="165"/>
      <c r="E301" s="166">
        <f>E300/2080</f>
        <v>11.420453045534508</v>
      </c>
      <c r="F301" s="166">
        <f>F300/2080</f>
        <v>13.593872597691123</v>
      </c>
      <c r="G301" s="166">
        <f>G300/2080</f>
        <v>15.767292149847735</v>
      </c>
      <c r="H301" s="167" t="s">
        <v>11</v>
      </c>
      <c r="K301" s="182" t="s">
        <v>457</v>
      </c>
      <c r="L301" s="183">
        <f>(E7-E299)/E299</f>
        <v>0.24897038982923361</v>
      </c>
      <c r="M301" s="183">
        <f>(F7-F299)/F299</f>
        <v>0.24933992623603898</v>
      </c>
      <c r="N301" s="183">
        <f>(G7-G299)/G299</f>
        <v>0.24960758622117954</v>
      </c>
    </row>
    <row r="302" spans="1:14" x14ac:dyDescent="0.2">
      <c r="C302" s="179"/>
      <c r="D302" s="165"/>
      <c r="E302" s="250"/>
      <c r="G302" s="250"/>
      <c r="K302" s="182"/>
      <c r="L302" s="183"/>
      <c r="M302" s="183"/>
      <c r="N302" s="183"/>
    </row>
    <row r="303" spans="1:14" x14ac:dyDescent="0.2">
      <c r="A303" s="163" t="s">
        <v>526</v>
      </c>
      <c r="C303" s="179"/>
      <c r="D303" s="165"/>
      <c r="E303" s="238">
        <f>E304/12</f>
        <v>2535.3894669370393</v>
      </c>
      <c r="F303" s="238">
        <f>F304/12</f>
        <v>3017.8530505497151</v>
      </c>
      <c r="G303" s="238">
        <f>G304/12</f>
        <v>3500.3166341623914</v>
      </c>
      <c r="H303" s="167" t="s">
        <v>10</v>
      </c>
      <c r="K303" s="182" t="s">
        <v>455</v>
      </c>
      <c r="L303" s="183">
        <f>(F303-E303)/E303</f>
        <v>0.1902917046490423</v>
      </c>
      <c r="M303" s="183">
        <f>(G303-F303)/F303</f>
        <v>0.15986980662454503</v>
      </c>
      <c r="N303" s="183"/>
    </row>
    <row r="304" spans="1:14" x14ac:dyDescent="0.2">
      <c r="C304" s="179"/>
      <c r="D304" s="165"/>
      <c r="E304" s="249">
        <v>30424.673603244471</v>
      </c>
      <c r="F304" s="170">
        <v>36214.236606596583</v>
      </c>
      <c r="G304" s="249">
        <v>42003.799609948699</v>
      </c>
      <c r="H304" s="167" t="s">
        <v>520</v>
      </c>
      <c r="K304" s="182" t="s">
        <v>456</v>
      </c>
      <c r="L304" s="183">
        <f>(G303-E303)/E303</f>
        <v>0.38058340929808476</v>
      </c>
      <c r="N304" s="183"/>
    </row>
    <row r="305" spans="1:14" x14ac:dyDescent="0.2">
      <c r="C305" s="179"/>
      <c r="D305" s="165"/>
      <c r="E305" s="166">
        <f>E304/2080</f>
        <v>14.627246924636765</v>
      </c>
      <c r="F305" s="166">
        <f>F304/2080</f>
        <v>17.410690676248358</v>
      </c>
      <c r="G305" s="166">
        <f>G304/2080</f>
        <v>20.19413442785995</v>
      </c>
      <c r="H305" s="167" t="s">
        <v>11</v>
      </c>
      <c r="K305" s="182" t="s">
        <v>457</v>
      </c>
      <c r="L305" s="183">
        <f>(E307-E303)/E303</f>
        <v>5.1504102096619132E-2</v>
      </c>
      <c r="M305" s="183">
        <f>(F307-F303)/F303</f>
        <v>5.1120045950600046E-2</v>
      </c>
      <c r="N305" s="183">
        <f>(G307-G303)/G303</f>
        <v>5.084186200066057E-2</v>
      </c>
    </row>
    <row r="306" spans="1:14" x14ac:dyDescent="0.2">
      <c r="E306" s="250"/>
      <c r="G306" s="250"/>
    </row>
    <row r="307" spans="1:14" x14ac:dyDescent="0.2">
      <c r="A307" s="179" t="s">
        <v>510</v>
      </c>
      <c r="C307" s="248"/>
      <c r="D307" s="261"/>
      <c r="E307" s="238">
        <f>E308/12</f>
        <v>2665.9724248968573</v>
      </c>
      <c r="F307" s="238">
        <f>F308/12</f>
        <v>3172.1258371659751</v>
      </c>
      <c r="G307" s="238">
        <f>G308/12</f>
        <v>3678.2792494350924</v>
      </c>
      <c r="H307" s="167" t="s">
        <v>10</v>
      </c>
      <c r="K307" s="182" t="s">
        <v>455</v>
      </c>
      <c r="L307" s="183">
        <f>(F307-E307)/E307</f>
        <v>0.18985695708713121</v>
      </c>
      <c r="M307" s="183">
        <f>(G307-F307)/F307</f>
        <v>0.15956284153005809</v>
      </c>
    </row>
    <row r="308" spans="1:14" x14ac:dyDescent="0.2">
      <c r="C308" s="248"/>
      <c r="E308" s="249">
        <v>31991.669098762286</v>
      </c>
      <c r="F308" s="170">
        <v>38065.510045991701</v>
      </c>
      <c r="G308" s="249">
        <v>44139.350993221109</v>
      </c>
      <c r="H308" s="167" t="s">
        <v>520</v>
      </c>
      <c r="K308" s="182" t="s">
        <v>456</v>
      </c>
      <c r="L308" s="183">
        <f>(G307-E307)/E307</f>
        <v>0.37971391417426226</v>
      </c>
    </row>
    <row r="309" spans="1:14" x14ac:dyDescent="0.2">
      <c r="C309" s="179"/>
      <c r="E309" s="166">
        <f>E308/2080</f>
        <v>15.380610143635714</v>
      </c>
      <c r="F309" s="166">
        <f>F308/2080</f>
        <v>18.300725983649855</v>
      </c>
      <c r="G309" s="166">
        <f>G308/2080</f>
        <v>21.220841823663996</v>
      </c>
      <c r="H309" s="167" t="s">
        <v>11</v>
      </c>
      <c r="K309" s="182" t="s">
        <v>457</v>
      </c>
      <c r="L309" s="183">
        <f>(E23-E307)/E307</f>
        <v>0.24906299438893556</v>
      </c>
      <c r="M309" s="183">
        <f>(F23-F307)/F307</f>
        <v>0.24948595047154276</v>
      </c>
      <c r="N309" s="183">
        <f>(G23-G307)/G307</f>
        <v>0.24979250393763627</v>
      </c>
    </row>
    <row r="310" spans="1:14" x14ac:dyDescent="0.2">
      <c r="C310" s="179"/>
      <c r="D310" s="165"/>
      <c r="E310" s="250"/>
      <c r="G310" s="250"/>
      <c r="K310" s="182"/>
      <c r="L310" s="183"/>
      <c r="M310" s="183"/>
      <c r="N310" s="183"/>
    </row>
    <row r="311" spans="1:14" x14ac:dyDescent="0.2">
      <c r="A311" s="163" t="s">
        <v>527</v>
      </c>
      <c r="C311" s="179"/>
      <c r="D311" s="165"/>
      <c r="E311" s="238">
        <f>E312/12</f>
        <v>3093.5449421105095</v>
      </c>
      <c r="F311" s="238">
        <f>F312/12</f>
        <v>3681.1682529297809</v>
      </c>
      <c r="G311" s="238">
        <f>G312/12</f>
        <v>4268.7915637490523</v>
      </c>
      <c r="H311" s="167" t="s">
        <v>10</v>
      </c>
      <c r="K311" s="182" t="s">
        <v>455</v>
      </c>
      <c r="L311" s="183">
        <f>(F311-E311)/E311</f>
        <v>0.18995143817706334</v>
      </c>
      <c r="M311" s="183">
        <f>(G311-F311)/F311</f>
        <v>0.15962957149584014</v>
      </c>
      <c r="N311" s="183"/>
    </row>
    <row r="312" spans="1:14" x14ac:dyDescent="0.2">
      <c r="C312" s="179"/>
      <c r="D312" s="165"/>
      <c r="E312" s="249">
        <v>37122.539305326114</v>
      </c>
      <c r="F312" s="170">
        <v>44174.019035157369</v>
      </c>
      <c r="G312" s="249">
        <v>51225.498764988624</v>
      </c>
      <c r="H312" s="167" t="s">
        <v>520</v>
      </c>
      <c r="K312" s="182" t="s">
        <v>456</v>
      </c>
      <c r="L312" s="183">
        <f>(G311-E311)/E311</f>
        <v>0.37990287635412667</v>
      </c>
      <c r="N312" s="183"/>
    </row>
    <row r="313" spans="1:14" x14ac:dyDescent="0.2">
      <c r="C313" s="179"/>
      <c r="D313" s="165"/>
      <c r="E313" s="166">
        <f>E312/2080</f>
        <v>17.847374666022169</v>
      </c>
      <c r="F313" s="166">
        <f>F312/2080</f>
        <v>21.237509151517965</v>
      </c>
      <c r="G313" s="166">
        <f>G312/2080</f>
        <v>24.627643637013762</v>
      </c>
      <c r="H313" s="167" t="s">
        <v>11</v>
      </c>
      <c r="K313" s="182" t="s">
        <v>457</v>
      </c>
      <c r="L313" s="183">
        <f>(E31-E311)/E311</f>
        <v>0.24923835674534303</v>
      </c>
      <c r="M313" s="183">
        <f>(F31-F311)/F311</f>
        <v>0.2495583649762276</v>
      </c>
      <c r="N313" s="183">
        <f>(G31-G311)/G311</f>
        <v>0.24979027132004955</v>
      </c>
    </row>
    <row r="314" spans="1:14" x14ac:dyDescent="0.2">
      <c r="D314" s="167" t="s">
        <v>904</v>
      </c>
      <c r="E314" s="250"/>
      <c r="G314" s="250"/>
    </row>
    <row r="315" spans="1:14" x14ac:dyDescent="0.2">
      <c r="A315" s="163" t="s">
        <v>73</v>
      </c>
      <c r="B315" s="163" t="s">
        <v>88</v>
      </c>
      <c r="C315" s="248" t="s">
        <v>251</v>
      </c>
      <c r="D315" s="167" t="s">
        <v>135</v>
      </c>
      <c r="E315" s="250"/>
      <c r="G315" s="250"/>
    </row>
    <row r="316" spans="1:14" x14ac:dyDescent="0.2">
      <c r="A316" s="163" t="s">
        <v>73</v>
      </c>
      <c r="B316" s="163" t="s">
        <v>88</v>
      </c>
      <c r="C316" s="248" t="s">
        <v>284</v>
      </c>
      <c r="D316" s="167" t="s">
        <v>157</v>
      </c>
      <c r="E316" s="250"/>
      <c r="F316" s="251"/>
      <c r="G316" s="250"/>
    </row>
    <row r="317" spans="1:14" x14ac:dyDescent="0.2">
      <c r="A317" s="163" t="s">
        <v>73</v>
      </c>
      <c r="B317" s="163" t="s">
        <v>88</v>
      </c>
      <c r="C317" s="164" t="s">
        <v>495</v>
      </c>
      <c r="D317" s="165" t="s">
        <v>496</v>
      </c>
      <c r="E317" s="250"/>
      <c r="G317" s="250"/>
    </row>
    <row r="318" spans="1:14" x14ac:dyDescent="0.2">
      <c r="A318" s="163" t="s">
        <v>74</v>
      </c>
      <c r="B318" s="163" t="s">
        <v>88</v>
      </c>
      <c r="C318" s="164" t="s">
        <v>292</v>
      </c>
      <c r="D318" s="167" t="s">
        <v>164</v>
      </c>
    </row>
    <row r="319" spans="1:14" x14ac:dyDescent="0.2">
      <c r="A319" s="163" t="s">
        <v>76</v>
      </c>
      <c r="B319" s="163" t="s">
        <v>88</v>
      </c>
      <c r="C319" s="163" t="s">
        <v>511</v>
      </c>
      <c r="D319" s="165" t="s">
        <v>757</v>
      </c>
      <c r="E319" s="255"/>
      <c r="F319" s="255"/>
      <c r="G319" s="255"/>
      <c r="K319" s="182"/>
      <c r="L319" s="183"/>
      <c r="M319" s="183"/>
      <c r="N319" s="183"/>
    </row>
    <row r="320" spans="1:14" x14ac:dyDescent="0.2">
      <c r="A320" s="163" t="s">
        <v>144</v>
      </c>
      <c r="B320" s="163" t="s">
        <v>88</v>
      </c>
      <c r="C320" s="248" t="s">
        <v>236</v>
      </c>
      <c r="D320" s="167" t="s">
        <v>1098</v>
      </c>
    </row>
  </sheetData>
  <customSheetViews>
    <customSheetView guid="{03674138-A9FA-46A6-AB09-A74C70852C0D}" showPageBreaks="1" printArea="1" view="pageLayout">
      <selection activeCell="C241" sqref="C241"/>
      <rowBreaks count="2" manualBreakCount="2">
        <brk id="47" max="16383" man="1"/>
        <brk id="85" max="16383" man="1"/>
      </rowBreaks>
      <pageMargins left="0.25" right="0.25" top="1.75" bottom="0.94" header="0.5" footer="0.5"/>
      <printOptions horizontalCentered="1" gridLines="1"/>
      <pageSetup scale="96" fitToHeight="20" orientation="portrait" r:id="rId1"/>
      <headerFooter alignWithMargins="0">
        <oddHeader>&amp;L&amp;"Times New Roman,Regular"Ordinance #  (pay plan adoption)
&amp;C&amp;"Times New Roman,Bold"&amp;16ATTACHMENT I
2016 CITY OF BELLEVUE PAY PLANS
&amp;14NON-AFFILIATED
GENERAL</oddHeader>
        <oddFooter>&amp;L&amp;"Times New Roman,Regular"* Position is exempt from overtime.&amp;C&amp;"Times New Roman,Bold"&amp;16&amp;A</oddFooter>
      </headerFooter>
    </customSheetView>
    <customSheetView guid="{6140C585-A678-4296-91B8-0C17DF653D09}" showPageBreaks="1" printArea="1" view="pageLayout" topLeftCell="A325">
      <selection activeCell="D193" sqref="D193"/>
      <rowBreaks count="2" manualBreakCount="2">
        <brk id="47" max="16383" man="1"/>
        <brk id="85" max="16383" man="1"/>
      </rowBreaks>
      <pageMargins left="0.25" right="0.25" top="1.75" bottom="0.94" header="0.5" footer="0.5"/>
      <printOptions horizontalCentered="1" gridLines="1"/>
      <pageSetup scale="96" fitToHeight="20" orientation="portrait" r:id="rId2"/>
      <headerFooter alignWithMargins="0">
        <oddHeader>&amp;LOrdinance #  (pay plan adoption)
&amp;C&amp;"Arial,Bold"&amp;16
2016 CITY OF BELLEVUE PAY PLANS
&amp;14NON-AFFILIATED
GENERAL</oddHeader>
        <oddFooter xml:space="preserve">&amp;L* Position is exempt from overtime.&amp;C&amp;"Arial,Bold"&amp;16&amp;A&amp;REffective 01/01/16
System Update 01/xx/16
</oddFooter>
      </headerFooter>
    </customSheetView>
    <customSheetView guid="{49073133-97C6-4E81-BEFE-D9E658C173F7}" showPageBreaks="1" printArea="1" view="pageLayout" topLeftCell="A187">
      <selection activeCell="D192" sqref="D192"/>
      <rowBreaks count="2" manualBreakCount="2">
        <brk id="47" max="16383" man="1"/>
        <brk id="85" max="16383" man="1"/>
      </rowBreaks>
      <pageMargins left="0.25" right="0.25" top="1.75" bottom="0.94" header="0.5" footer="0.5"/>
      <printOptions horizontalCentered="1" gridLines="1"/>
      <pageSetup scale="96" fitToHeight="20" orientation="portrait" r:id="rId3"/>
      <headerFooter alignWithMargins="0">
        <oddHeader>&amp;LOrdinance #  (pay plan adoption)
&amp;C&amp;"Arial,Bold"&amp;16
2016 CITY OF BELLEVUE PAY PLANS
&amp;14NON-AFFILIATED
GENERAL</oddHeader>
        <oddFooter xml:space="preserve">&amp;L* Position is exempt from overtime.&amp;C&amp;"Arial,Bold"&amp;16&amp;A&amp;REffective 01/01/16
System Update 01/xx/16
</oddFooter>
      </headerFooter>
    </customSheetView>
  </customSheetViews>
  <mergeCells count="8">
    <mergeCell ref="A282:H282"/>
    <mergeCell ref="F1:F2"/>
    <mergeCell ref="G1:G2"/>
    <mergeCell ref="B1:B2"/>
    <mergeCell ref="A1:A2"/>
    <mergeCell ref="C1:C2"/>
    <mergeCell ref="D1:D2"/>
    <mergeCell ref="E1:E2"/>
  </mergeCells>
  <phoneticPr fontId="7" type="noConversion"/>
  <printOptions horizontalCentered="1" gridLines="1"/>
  <pageMargins left="0.25" right="0.25" top="1.75" bottom="0.94" header="0.5" footer="0.5"/>
  <pageSetup scale="96" fitToHeight="20" orientation="portrait" r:id="rId4"/>
  <headerFooter alignWithMargins="0">
    <oddHeader>&amp;LOrdinance # (pay plan adoption)
&amp;C&amp;"Times New Roman,Bold"&amp;14
2019 CITY OF BELLEVUE PAY PLANS
NON-AFFILIATED
GENERAL</oddHeader>
    <oddFooter xml:space="preserve">&amp;L&amp;"Times New Roman,Regular"* Position is exempt from overtime.&amp;C&amp;"Times New Roman,Bold"&amp;16&amp;A&amp;R&amp;"Times New Roman,Regular"Effective 01/01/19
System Update 01/xx/19
</oddFooter>
  </headerFooter>
  <rowBreaks count="6" manualBreakCount="6">
    <brk id="47" max="16383" man="1"/>
    <brk id="85" max="16383" man="1"/>
    <brk id="132" max="7" man="1"/>
    <brk id="168" max="7" man="1"/>
    <brk id="206" max="7" man="1"/>
    <brk id="247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6c42278b-7f12-4dcd-87f4-8f573a28e215" ContentTypeId="0x0101005D39A975DE123640AF12B7AA59035CE9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udget Development- Budget Office" ma:contentTypeID="0x0101005D39A975DE123640AF12B7AA59035CE9010100C1337C95ECE52F4CA1F2A1019C3266DB" ma:contentTypeVersion="47" ma:contentTypeDescription="" ma:contentTypeScope="" ma:versionID="f821d689bba7b0b7772fa7d9448520cd">
  <xsd:schema xmlns:xsd="http://www.w3.org/2001/XMLSchema" xmlns:xs="http://www.w3.org/2001/XMLSchema" xmlns:p="http://schemas.microsoft.com/office/2006/metadata/properties" xmlns:ns2="f51ff12f-2415-4429-a52f-e7795c34e00e" xmlns:ns4="http://schemas.microsoft.com/sharepoint/v4" targetNamespace="http://schemas.microsoft.com/office/2006/metadata/properties" ma:root="true" ma:fieldsID="a58da7b007376a29c7a3310b1047fbf2" ns2:_="" ns4:_="">
    <xsd:import namespace="f51ff12f-2415-4429-a52f-e7795c34e00e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Url" minOccurs="0"/>
                <xsd:element ref="ns2:COB_x0020_Author" minOccurs="0"/>
                <xsd:element ref="ns2:Publication_x0020_Date"/>
                <xsd:element ref="ns2:_dlc_DocId" minOccurs="0"/>
                <xsd:element ref="ns2:TaxCatchAll" minOccurs="0"/>
                <xsd:element ref="ns2:TaxCatchAllLabel" minOccurs="0"/>
                <xsd:element ref="ns2:oaa76e3fa6ae48279c59a73490d78154" minOccurs="0"/>
                <xsd:element ref="ns2:i0c41f3171b94d78a46b3d72ec3079ff" minOccurs="0"/>
                <xsd:element ref="ns2:_dlc_DocIdPersistId" minOccurs="0"/>
                <xsd:element ref="ns2:md0e998bdd384600be4706f1f8619373" minOccurs="0"/>
                <xsd:element ref="ns2:i00629433d824b3a9634694f98535ca1" minOccurs="0"/>
                <xsd:element ref="ns2:oe1964c2f3a64b9d8233f9f7aade5013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ff12f-2415-4429-a52f-e7795c34e00e" elementFormDefault="qualified">
    <xsd:import namespace="http://schemas.microsoft.com/office/2006/documentManagement/types"/>
    <xsd:import namespace="http://schemas.microsoft.com/office/infopath/2007/PartnerControls"/>
    <xsd:element name="_dlc_DocIdUrl" ma:index="2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OB_x0020_Author" ma:index="3" nillable="true" ma:displayName="COB Author" ma:description="Person primarily responsible for this content" ma:list="UserInfo" ma:SearchPeopleOnly="false" ma:SharePointGroup="0" ma:internalName="COB_x0020_Author" ma:readOnly="fals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cation_x0020_Date" ma:index="7" ma:displayName="Publication Date" ma:default="[today]" ma:format="DateTime" ma:internalName="Publication_x0020_Date">
      <xsd:simpleType>
        <xsd:restriction base="dms:DateTime"/>
      </xsd:simpleType>
    </xsd:element>
    <xsd:element name="_dlc_DocId" ma:index="9" nillable="true" ma:displayName="Document ID Value" ma:description="The value of the document ID assigned to this item." ma:internalName="_dlc_DocId" ma:readOnly="false">
      <xsd:simpleType>
        <xsd:restriction base="dms:Text"/>
      </xsd:simpleType>
    </xsd:element>
    <xsd:element name="TaxCatchAll" ma:index="10" nillable="true" ma:displayName="Taxonomy Catch All Column" ma:description="" ma:hidden="true" ma:list="{830d0904-6550-445a-ae39-0c752f0cc794}" ma:internalName="TaxCatchAll" ma:showField="CatchAllData" ma:web="7c2886d1-b754-4710-9595-9a0ce17578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830d0904-6550-445a-ae39-0c752f0cc794}" ma:internalName="TaxCatchAllLabel" ma:readOnly="true" ma:showField="CatchAllDataLabel" ma:web="7c2886d1-b754-4710-9595-9a0ce17578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aa76e3fa6ae48279c59a73490d78154" ma:index="15" ma:taxonomy="true" ma:internalName="oaa76e3fa6ae48279c59a73490d78154" ma:taxonomyFieldName="Budget_x0020_Period" ma:displayName="Budget Period" ma:default="" ma:fieldId="{8aa76e3f-a6ae-4827-9c59-a73490d78154}" ma:sspId="6c42278b-7f12-4dcd-87f4-8f573a28e215" ma:termSetId="874a0d4c-bca6-4845-a368-b963f68e87e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0c41f3171b94d78a46b3d72ec3079ff" ma:index="18" ma:taxonomy="true" ma:internalName="i0c41f3171b94d78a46b3d72ec3079ff" ma:taxonomyFieldName="DocumentStatus" ma:displayName="Document Status" ma:default="12;#Work in Progress|50ead3fc-d5ad-4c02-b42a-bc741e592ae1" ma:fieldId="{20c41f31-71b9-4d78-a46b-3d72ec3079ff}" ma:sspId="6c42278b-7f12-4dcd-87f4-8f573a28e215" ma:termSetId="2072999a-c45f-4ad5-92f0-938c14ed56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2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md0e998bdd384600be4706f1f8619373" ma:index="21" ma:taxonomy="true" ma:internalName="md0e998bdd384600be4706f1f8619373" ma:taxonomyFieldName="COB_x0020_Department" ma:displayName="COB Department" ma:default="" ma:fieldId="{6d0e998b-dd38-4600-be47-06f1f8619373}" ma:sspId="6c42278b-7f12-4dcd-87f4-8f573a28e215" ma:termSetId="a37ae36f-70f4-4b1a-83f0-9abc428439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00629433d824b3a9634694f98535ca1" ma:index="22" ma:taxonomy="true" ma:internalName="i00629433d824b3a9634694f98535ca1" ma:taxonomyFieldName="Budget_x0020_One_x0020_Audience" ma:displayName="Budget One Audience" ma:default="346;#City Council|965a1171-11ce-4527-996d-505f445d9830" ma:fieldId="{20062943-3d82-4b3a-9634-694f98535ca1}" ma:sspId="6c42278b-7f12-4dcd-87f4-8f573a28e215" ma:termSetId="6442d2c8-d794-4773-ac26-61d3432412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1964c2f3a64b9d8233f9f7aade5013" ma:index="24" ma:taxonomy="true" ma:internalName="oe1964c2f3a64b9d8233f9f7aade5013" ma:taxonomyFieldName="Budget_x0020_One_x0020_Product" ma:displayName="Budget One Product" ma:default="" ma:fieldId="{8e1964c2-f3a6-4b9d-8233-f9f7aade5013}" ma:sspId="6c42278b-7f12-4dcd-87f4-8f573a28e215" ma:termSetId="d0ae1675-81dd-471d-9523-ffc20781691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6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0c41f3171b94d78a46b3d72ec3079ff xmlns="f51ff12f-2415-4429-a52f-e7795c34e00e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 in Progress</TermName>
          <TermId xmlns="http://schemas.microsoft.com/office/infopath/2007/PartnerControls">50ead3fc-d5ad-4c02-b42a-bc741e592ae1</TermId>
        </TermInfo>
      </Terms>
    </i0c41f3171b94d78a46b3d72ec3079ff>
    <COB_x0020_Author xmlns="f51ff12f-2415-4429-a52f-e7795c34e00e">
      <UserInfo>
        <DisplayName/>
        <AccountId xsi:nil="true"/>
        <AccountType/>
      </UserInfo>
    </COB_x0020_Author>
    <IconOverlay xmlns="http://schemas.microsoft.com/sharepoint/v4" xsi:nil="true"/>
    <Publication_x0020_Date xmlns="f51ff12f-2415-4429-a52f-e7795c34e00e">2017-11-16T21:41:00+00:00</Publication_x0020_Date>
    <i00629433d824b3a9634694f98535ca1 xmlns="f51ff12f-2415-4429-a52f-e7795c34e00e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Budget Office</TermName>
          <TermId xmlns="http://schemas.microsoft.com/office/infopath/2007/PartnerControls">c1f37bb6-6002-4897-a0bd-b2510fce49fc</TermId>
        </TermInfo>
      </Terms>
    </i00629433d824b3a9634694f98535ca1>
    <oe1964c2f3a64b9d8233f9f7aade5013 xmlns="f51ff12f-2415-4429-a52f-e7795c34e00e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Final Budget</TermName>
          <TermId xmlns="http://schemas.microsoft.com/office/infopath/2007/PartnerControls">7eac9219-dd3b-4cce-bc9f-30eb8e3175e5</TermId>
        </TermInfo>
      </Terms>
    </oe1964c2f3a64b9d8233f9f7aade5013>
    <_dlc_DocId xmlns="f51ff12f-2415-4429-a52f-e7795c34e00e">Y5EZM2YCATPV-5208-123</_dlc_DocId>
    <_dlc_DocIdPersistId xmlns="f51ff12f-2415-4429-a52f-e7795c34e00e" xsi:nil="true"/>
    <md0e998bdd384600be4706f1f8619373 xmlns="f51ff12f-2415-4429-a52f-e7795c34e00e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 Department</TermName>
          <TermId xmlns="http://schemas.microsoft.com/office/infopath/2007/PartnerControls">a61a45b9-c5d5-418b-a0f2-565e56a0684f</TermId>
        </TermInfo>
      </Terms>
    </md0e998bdd384600be4706f1f8619373>
    <_dlc_DocIdUrl xmlns="f51ff12f-2415-4429-a52f-e7795c34e00e">
      <Url>https://cobweb.ci.bellevue.wa.us/teams/BudgetOffice/_layouts/15/DocIdRedir.aspx?ID=Y5EZM2YCATPV-5208-123</Url>
      <Description>Y5EZM2YCATPV-5208-123</Description>
    </_dlc_DocIdUrl>
    <TaxCatchAll xmlns="f51ff12f-2415-4429-a52f-e7795c34e00e">
      <Value>132</Value>
      <Value>12</Value>
      <Value>361</Value>
      <Value>8</Value>
      <Value>350</Value>
    </TaxCatchAll>
    <oaa76e3fa6ae48279c59a73490d78154 xmlns="f51ff12f-2415-4429-a52f-e7795c34e00e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2017-2018</TermName>
          <TermId xmlns="http://schemas.microsoft.com/office/infopath/2007/PartnerControls">61a42253-28d0-42a5-b898-329a92478ca4</TermId>
        </TermInfo>
      </Terms>
    </oaa76e3fa6ae48279c59a73490d78154>
  </documentManagement>
</p:propertie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E35C70-8D88-4137-8BCC-BA9EA40C48D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D7D375E-C33C-4CC7-94AF-C462CF113C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1ff12f-2415-4429-a52f-e7795c34e00e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84141C-C1D0-4EB1-93DC-E1F4EB8180C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C03495E-78FF-473B-AFAE-89E6C5169B3C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f51ff12f-2415-4429-a52f-e7795c34e00e"/>
    <ds:schemaRef ds:uri="http://schemas.microsoft.com/office/2006/metadata/properties"/>
    <ds:schemaRef ds:uri="http://purl.org/dc/terms/"/>
    <ds:schemaRef ds:uri="http://schemas.microsoft.com/sharepoint/v4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22D5C7D3-6A4B-455A-837B-16997192CB5B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3D7AFA3E-098E-449F-8FFA-363B7614BD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50</vt:i4>
      </vt:variant>
    </vt:vector>
  </HeadingPairs>
  <TitlesOfParts>
    <vt:vector size="79" baseType="lpstr">
      <vt:lpstr>Job Table</vt:lpstr>
      <vt:lpstr>A- Maint (rep)</vt:lpstr>
      <vt:lpstr>B- Parks,Util,CS, Trans (rep)</vt:lpstr>
      <vt:lpstr>C- City Council</vt:lpstr>
      <vt:lpstr>D- Police Support (rep)</vt:lpstr>
      <vt:lpstr>E -Executive</vt:lpstr>
      <vt:lpstr>F - Firefighters (rep)</vt:lpstr>
      <vt:lpstr>FN1</vt:lpstr>
      <vt:lpstr>G - General Pay Plan</vt:lpstr>
      <vt:lpstr>H- Bldg Insp, Examiners (rep)</vt:lpstr>
      <vt:lpstr>H1</vt:lpstr>
      <vt:lpstr>I -Signals &amp; Electronics (rep)</vt:lpstr>
      <vt:lpstr>J- Police Mgmt (rep)</vt:lpstr>
      <vt:lpstr>J1</vt:lpstr>
      <vt:lpstr>K- Fire Prevention (rep)</vt:lpstr>
      <vt:lpstr>K1</vt:lpstr>
      <vt:lpstr>L-Batt Chiefs (rep)</vt:lpstr>
      <vt:lpstr>LU1</vt:lpstr>
      <vt:lpstr>M-Mid Mgmt</vt:lpstr>
      <vt:lpstr>M1</vt:lpstr>
      <vt:lpstr>N-Fire (rep)</vt:lpstr>
      <vt:lpstr>P-Police (rep)</vt:lpstr>
      <vt:lpstr>P1</vt:lpstr>
      <vt:lpstr>R-Rec Assts</vt:lpstr>
      <vt:lpstr>S-Police Support Supvsr</vt:lpstr>
      <vt:lpstr>T-City Manager</vt:lpstr>
      <vt:lpstr>U-Batt Chief (rep)</vt:lpstr>
      <vt:lpstr>V-Fire Marshal</vt:lpstr>
      <vt:lpstr>W - Bldg Div Sups (rep)</vt:lpstr>
      <vt:lpstr>'A- Maint (rep)'!Print_Area</vt:lpstr>
      <vt:lpstr>'B- Parks,Util,CS, Trans (rep)'!Print_Area</vt:lpstr>
      <vt:lpstr>'C- City Council'!Print_Area</vt:lpstr>
      <vt:lpstr>'D- Police Support (rep)'!Print_Area</vt:lpstr>
      <vt:lpstr>'E -Executive'!Print_Area</vt:lpstr>
      <vt:lpstr>'F - Firefighters (rep)'!Print_Area</vt:lpstr>
      <vt:lpstr>'FN1'!Print_Area</vt:lpstr>
      <vt:lpstr>'G - General Pay Plan'!Print_Area</vt:lpstr>
      <vt:lpstr>'H- Bldg Insp, Examiners (rep)'!Print_Area</vt:lpstr>
      <vt:lpstr>'H1'!Print_Area</vt:lpstr>
      <vt:lpstr>'I -Signals &amp; Electronics (rep)'!Print_Area</vt:lpstr>
      <vt:lpstr>'J- Police Mgmt (rep)'!Print_Area</vt:lpstr>
      <vt:lpstr>'J1'!Print_Area</vt:lpstr>
      <vt:lpstr>'Job Table'!Print_Area</vt:lpstr>
      <vt:lpstr>'K- Fire Prevention (rep)'!Print_Area</vt:lpstr>
      <vt:lpstr>'K1'!Print_Area</vt:lpstr>
      <vt:lpstr>'L-Batt Chiefs (rep)'!Print_Area</vt:lpstr>
      <vt:lpstr>'LU1'!Print_Area</vt:lpstr>
      <vt:lpstr>'M1'!Print_Area</vt:lpstr>
      <vt:lpstr>'M-Mid Mgmt'!Print_Area</vt:lpstr>
      <vt:lpstr>'N-Fire (rep)'!Print_Area</vt:lpstr>
      <vt:lpstr>'P1'!Print_Area</vt:lpstr>
      <vt:lpstr>'P-Police (rep)'!Print_Area</vt:lpstr>
      <vt:lpstr>'R-Rec Assts'!Print_Area</vt:lpstr>
      <vt:lpstr>'S-Police Support Supvsr'!Print_Area</vt:lpstr>
      <vt:lpstr>'T-City Manager'!Print_Area</vt:lpstr>
      <vt:lpstr>'U-Batt Chief (rep)'!Print_Area</vt:lpstr>
      <vt:lpstr>'V-Fire Marshal'!Print_Area</vt:lpstr>
      <vt:lpstr>'W - Bldg Div Sups (rep)'!Print_Area</vt:lpstr>
      <vt:lpstr>'B- Parks,Util,CS, Trans (rep)'!Print_Titles</vt:lpstr>
      <vt:lpstr>'C- City Council'!Print_Titles</vt:lpstr>
      <vt:lpstr>'D- Police Support (rep)'!Print_Titles</vt:lpstr>
      <vt:lpstr>'E -Executive'!Print_Titles</vt:lpstr>
      <vt:lpstr>'F - Firefighters (rep)'!Print_Titles</vt:lpstr>
      <vt:lpstr>'G - General Pay Plan'!Print_Titles</vt:lpstr>
      <vt:lpstr>'H- Bldg Insp, Examiners (rep)'!Print_Titles</vt:lpstr>
      <vt:lpstr>'I -Signals &amp; Electronics (rep)'!Print_Titles</vt:lpstr>
      <vt:lpstr>'J- Police Mgmt (rep)'!Print_Titles</vt:lpstr>
      <vt:lpstr>'Job Table'!Print_Titles</vt:lpstr>
      <vt:lpstr>'K- Fire Prevention (rep)'!Print_Titles</vt:lpstr>
      <vt:lpstr>'L-Batt Chiefs (rep)'!Print_Titles</vt:lpstr>
      <vt:lpstr>'M-Mid Mgmt'!Print_Titles</vt:lpstr>
      <vt:lpstr>'N-Fire (rep)'!Print_Titles</vt:lpstr>
      <vt:lpstr>'P-Police (rep)'!Print_Titles</vt:lpstr>
      <vt:lpstr>'R-Rec Assts'!Print_Titles</vt:lpstr>
      <vt:lpstr>'S-Police Support Supvsr'!Print_Titles</vt:lpstr>
      <vt:lpstr>'T-City Manager'!Print_Titles</vt:lpstr>
      <vt:lpstr>'U-Batt Chief (rep)'!Print_Titles</vt:lpstr>
      <vt:lpstr>'V-Fire Marshal'!Print_Titles</vt:lpstr>
      <vt:lpstr>'W - Bldg Div Sups (rep)'!Print_Titles</vt:lpstr>
    </vt:vector>
  </TitlesOfParts>
  <Company>COB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11-27-17</dc:title>
  <dc:creator>Shane Lee</dc:creator>
  <cp:keywords/>
  <cp:lastModifiedBy>mkast</cp:lastModifiedBy>
  <cp:lastPrinted>2019-01-14T17:27:16Z</cp:lastPrinted>
  <dcterms:created xsi:type="dcterms:W3CDTF">1999-12-07T17:48:11Z</dcterms:created>
  <dcterms:modified xsi:type="dcterms:W3CDTF">2019-02-06T21:19:28Z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0x0101005D39A975DE123640AF12B7AA59035CE9010100C1337C95ECE52F4CA1F2A1019C3266DB</vt:lpwstr>
  </property>
  <property fmtid="{D5CDD505-2E9C-101B-9397-08002B2CF9AE}" pid="4" name="_dlc_DocIdItemGuid">
    <vt:lpwstr>e2760cb8-5284-4324-bfd8-8437fa3fb5ef</vt:lpwstr>
  </property>
  <property fmtid="{D5CDD505-2E9C-101B-9397-08002B2CF9AE}" pid="5" name="DocumentStatus">
    <vt:lpwstr>12;#Work in Progress|50ead3fc-d5ad-4c02-b42a-bc741e592ae1</vt:lpwstr>
  </property>
  <property fmtid="{D5CDD505-2E9C-101B-9397-08002B2CF9AE}" pid="6" name="COB Department">
    <vt:lpwstr>8;#Finance Department|a61a45b9-c5d5-418b-a0f2-565e56a0684f</vt:lpwstr>
  </property>
  <property fmtid="{D5CDD505-2E9C-101B-9397-08002B2CF9AE}" pid="7" name="Budget One Audience">
    <vt:lpwstr>361;#Internal Budget Office|c1f37bb6-6002-4897-a0bd-b2510fce49fc</vt:lpwstr>
  </property>
  <property fmtid="{D5CDD505-2E9C-101B-9397-08002B2CF9AE}" pid="8" name="Budget One Product">
    <vt:lpwstr>350;#Final Budget|7eac9219-dd3b-4cce-bc9f-30eb8e3175e5</vt:lpwstr>
  </property>
  <property fmtid="{D5CDD505-2E9C-101B-9397-08002B2CF9AE}" pid="9" name="Budget Period">
    <vt:lpwstr>132;#2017-2018|61a42253-28d0-42a5-b898-329a92478ca4</vt:lpwstr>
  </property>
</Properties>
</file>