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showObjects="placeholder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Classification and Compensation\Pay Plans\2017\"/>
    </mc:Choice>
  </mc:AlternateContent>
  <bookViews>
    <workbookView xWindow="5070" yWindow="90" windowWidth="14835" windowHeight="6495" tabRatio="925"/>
  </bookViews>
  <sheets>
    <sheet name="Job Table" sheetId="1" r:id="rId1"/>
    <sheet name="A- Maint (rep)" sheetId="2" r:id="rId2"/>
    <sheet name="B- Parks,Util,Civic Svc (rep)" sheetId="31" r:id="rId3"/>
    <sheet name="C- City Council eff 1-7-17" sheetId="37" r:id="rId4"/>
    <sheet name="C- City Council exp 1-6-17" sheetId="4" r:id="rId5"/>
    <sheet name="D- Police Support (rep)" sheetId="39" r:id="rId6"/>
    <sheet name="E -Executive" sheetId="7" r:id="rId7"/>
    <sheet name="F- Firefighters (rep)" sheetId="8" r:id="rId8"/>
    <sheet name="FN1" sheetId="9" r:id="rId9"/>
    <sheet name="G - General Pay Plan" sheetId="10" r:id="rId10"/>
    <sheet name="H- Bldg Insp, Examiners (rep)" sheetId="33" r:id="rId11"/>
    <sheet name="H1" sheetId="12" r:id="rId12"/>
    <sheet name="I -Signals &amp; Electronics (rep)" sheetId="13" r:id="rId13"/>
    <sheet name="J- Police Mgmt (rep)" sheetId="14" r:id="rId14"/>
    <sheet name="J1" sheetId="15" r:id="rId15"/>
    <sheet name="K- Fire Prevention (rep)" sheetId="16" r:id="rId16"/>
    <sheet name="K1" sheetId="17" r:id="rId17"/>
    <sheet name="L-Batt Chiefs (rep)" sheetId="18" r:id="rId18"/>
    <sheet name="LU1" sheetId="19" r:id="rId19"/>
    <sheet name="M-Mid Mgmt" sheetId="20" r:id="rId20"/>
    <sheet name="M1" sheetId="21" r:id="rId21"/>
    <sheet name="N-Fire (rep)" sheetId="22" r:id="rId22"/>
    <sheet name="P-Police (rep)" sheetId="34" r:id="rId23"/>
    <sheet name="P1" sheetId="24" r:id="rId24"/>
    <sheet name="R-Rec Assts" sheetId="25" r:id="rId25"/>
    <sheet name="S-Police Support Supvsr" sheetId="26" r:id="rId26"/>
    <sheet name="T-City Manager eff 2-24-17" sheetId="38" r:id="rId27"/>
    <sheet name="T-City Manager exp 2-23-17" sheetId="27" r:id="rId28"/>
    <sheet name="U-Batt Chief (rep)" sheetId="28" r:id="rId29"/>
    <sheet name="V-Fire Marshal" sheetId="29" r:id="rId30"/>
    <sheet name="W - Bldg Div Sups (rep)" sheetId="36" r:id="rId31"/>
  </sheets>
  <definedNames>
    <definedName name="_Fill" localSheetId="2" hidden="1">#REF!</definedName>
    <definedName name="_Fill" localSheetId="3" hidden="1">#REF!</definedName>
    <definedName name="_Fill" localSheetId="5" hidden="1">#REF!</definedName>
    <definedName name="_Fill" localSheetId="10" hidden="1">#REF!</definedName>
    <definedName name="_Fill" localSheetId="12" hidden="1">#REF!</definedName>
    <definedName name="_Fill" localSheetId="22" hidden="1">#REF!</definedName>
    <definedName name="_Fill" localSheetId="26" hidden="1">#REF!</definedName>
    <definedName name="_Fill" localSheetId="30" hidden="1">#REF!</definedName>
    <definedName name="_Fill" hidden="1">#REF!</definedName>
    <definedName name="_xlnm._FilterDatabase" localSheetId="0" hidden="1">'Job Table'!$A$1:$I$340</definedName>
    <definedName name="_Order1" hidden="1">255</definedName>
    <definedName name="_Order2" hidden="1">255</definedName>
    <definedName name="_xlnm.Print_Area" localSheetId="1">'A- Maint (rep)'!$A$1:$J$11</definedName>
    <definedName name="_xlnm.Print_Area" localSheetId="2">'B- Parks,Util,Civic Svc (rep)'!$A$1:$K$60</definedName>
    <definedName name="_xlnm.Print_Area" localSheetId="3">'C- City Council eff 1-7-17'!$A$1:$F$11</definedName>
    <definedName name="_xlnm.Print_Area" localSheetId="4">'C- City Council exp 1-6-17'!$A$1:$F$11</definedName>
    <definedName name="_xlnm.Print_Area" localSheetId="5">'D- Police Support (rep)'!$A$1:$J$46</definedName>
    <definedName name="_xlnm.Print_Area" localSheetId="6">'E -Executive'!$A$1:$H$23</definedName>
    <definedName name="_xlnm.Print_Area" localSheetId="7">'F- Firefighters (rep)'!$A$1:$I$43</definedName>
    <definedName name="_xlnm.Print_Area" localSheetId="8">'FN1'!$A$1:$I$114</definedName>
    <definedName name="_xlnm.Print_Area" localSheetId="9">'G - General Pay Plan'!$A$1:$H$269</definedName>
    <definedName name="_xlnm.Print_Area" localSheetId="10">'H- Bldg Insp, Examiners (rep)'!$A$1:$H$14</definedName>
    <definedName name="_xlnm.Print_Area" localSheetId="11">'H1'!$A$1:$E$9</definedName>
    <definedName name="_xlnm.Print_Area" localSheetId="12">'I -Signals &amp; Electronics (rep)'!$A$1:$J$26</definedName>
    <definedName name="_xlnm.Print_Area" localSheetId="13">'J- Police Mgmt (rep)'!$A$1:$G$10</definedName>
    <definedName name="_xlnm.Print_Area" localSheetId="14">'J1'!$A$1:$E$26</definedName>
    <definedName name="_xlnm.Print_Area" localSheetId="0">'Job Table'!$A$1:$I$341</definedName>
    <definedName name="_xlnm.Print_Area" localSheetId="15">'K- Fire Prevention (rep)'!$A$1:$J$6</definedName>
    <definedName name="_xlnm.Print_Area" localSheetId="16">'K1'!$A$1:$J$14</definedName>
    <definedName name="_xlnm.Print_Area" localSheetId="17">'L-Batt Chiefs (rep)'!$A$1:$H$7</definedName>
    <definedName name="_xlnm.Print_Area" localSheetId="18">'LU1'!$A$1:$D$11</definedName>
    <definedName name="_xlnm.Print_Area" localSheetId="20">'M1'!$A$1:$E$7</definedName>
    <definedName name="_xlnm.Print_Area" localSheetId="19">'M-Mid Mgmt'!$A$3:$H$24</definedName>
    <definedName name="_xlnm.Print_Area" localSheetId="21">'N-Fire (rep)'!$A$1:$I$22</definedName>
    <definedName name="_xlnm.Print_Area" localSheetId="23">'P1'!$A$1:$I$46</definedName>
    <definedName name="_xlnm.Print_Area" localSheetId="22">'P-Police (rep)'!$A$1:$I$16</definedName>
    <definedName name="_xlnm.Print_Area" localSheetId="24">'R-Rec Assts'!$A$1:$G$8</definedName>
    <definedName name="_xlnm.Print_Area" localSheetId="25">'S-Police Support Supvsr'!$A$1:$G$6</definedName>
    <definedName name="_xlnm.Print_Area" localSheetId="26">'T-City Manager eff 2-24-17'!$A$1:$F$6</definedName>
    <definedName name="_xlnm.Print_Area" localSheetId="27">'T-City Manager exp 2-23-17'!$A$1:$F$6</definedName>
    <definedName name="_xlnm.Print_Area" localSheetId="28">'U-Batt Chief (rep)'!$A$1:$H$6</definedName>
    <definedName name="_xlnm.Print_Area" localSheetId="29">'V-Fire Marshal'!$A$1:$H$6</definedName>
    <definedName name="_xlnm.Print_Area" localSheetId="30">'W - Bldg Div Sups (rep)'!$A$1:$I$14</definedName>
    <definedName name="_xlnm.Print_Titles" localSheetId="2">'B- Parks,Util,Civic Svc (rep)'!$1:$2</definedName>
    <definedName name="_xlnm.Print_Titles" localSheetId="3">'C- City Council eff 1-7-17'!$1:$2</definedName>
    <definedName name="_xlnm.Print_Titles" localSheetId="4">'C- City Council exp 1-6-17'!$1:$2</definedName>
    <definedName name="_xlnm.Print_Titles" localSheetId="5">'D- Police Support (rep)'!$1:$2</definedName>
    <definedName name="_xlnm.Print_Titles" localSheetId="6">'E -Executive'!$1:$2</definedName>
    <definedName name="_xlnm.Print_Titles" localSheetId="7">'F- Firefighters (rep)'!$1:$2</definedName>
    <definedName name="_xlnm.Print_Titles" localSheetId="9">'G - General Pay Plan'!$1:$2</definedName>
    <definedName name="_xlnm.Print_Titles" localSheetId="10">'H- Bldg Insp, Examiners (rep)'!$1:$2</definedName>
    <definedName name="_xlnm.Print_Titles" localSheetId="12">'I -Signals &amp; Electronics (rep)'!$1:$2</definedName>
    <definedName name="_xlnm.Print_Titles" localSheetId="13">'J- Police Mgmt (rep)'!$1:$2</definedName>
    <definedName name="_xlnm.Print_Titles" localSheetId="0">'Job Table'!$1:$1</definedName>
    <definedName name="_xlnm.Print_Titles" localSheetId="15">'K- Fire Prevention (rep)'!$1:$2</definedName>
    <definedName name="_xlnm.Print_Titles" localSheetId="17">'L-Batt Chiefs (rep)'!$1:$2</definedName>
    <definedName name="_xlnm.Print_Titles" localSheetId="19">'M-Mid Mgmt'!$1:$2</definedName>
    <definedName name="_xlnm.Print_Titles" localSheetId="21">'N-Fire (rep)'!$1:$2</definedName>
    <definedName name="_xlnm.Print_Titles" localSheetId="22">'P-Police (rep)'!$1:$2</definedName>
    <definedName name="_xlnm.Print_Titles" localSheetId="24">'R-Rec Assts'!$1:$2</definedName>
    <definedName name="_xlnm.Print_Titles" localSheetId="25">'S-Police Support Supvsr'!$1:$2</definedName>
    <definedName name="_xlnm.Print_Titles" localSheetId="26">'T-City Manager eff 2-24-17'!$1:$2</definedName>
    <definedName name="_xlnm.Print_Titles" localSheetId="27">'T-City Manager exp 2-23-17'!$1:$2</definedName>
    <definedName name="_xlnm.Print_Titles" localSheetId="28">'U-Batt Chief (rep)'!$1:$2</definedName>
    <definedName name="_xlnm.Print_Titles" localSheetId="29">'V-Fire Marshal'!$1:$2</definedName>
    <definedName name="_xlnm.Print_Titles" localSheetId="30">'W - Bldg Div Sups (rep)'!$1:$2</definedName>
    <definedName name="Z_03674138_A9FA_46A6_AB09_A74C70852C0D_.wvu.PrintArea" localSheetId="1" hidden="1">'A- Maint (rep)'!$A$1:$J$13</definedName>
    <definedName name="Z_03674138_A9FA_46A6_AB09_A74C70852C0D_.wvu.PrintArea" localSheetId="3" hidden="1">'C- City Council eff 1-7-17'!$A$1:$F$11</definedName>
    <definedName name="Z_03674138_A9FA_46A6_AB09_A74C70852C0D_.wvu.PrintArea" localSheetId="4" hidden="1">'C- City Council exp 1-6-17'!$A$1:$F$11</definedName>
    <definedName name="Z_03674138_A9FA_46A6_AB09_A74C70852C0D_.wvu.PrintArea" localSheetId="5" hidden="1">'D- Police Support (rep)'!$A$1:$J$46</definedName>
    <definedName name="Z_03674138_A9FA_46A6_AB09_A74C70852C0D_.wvu.PrintArea" localSheetId="6" hidden="1">'E -Executive'!$A$1:$H$23</definedName>
    <definedName name="Z_03674138_A9FA_46A6_AB09_A74C70852C0D_.wvu.PrintArea" localSheetId="7" hidden="1">'F- Firefighters (rep)'!$A$1:$I$43</definedName>
    <definedName name="Z_03674138_A9FA_46A6_AB09_A74C70852C0D_.wvu.PrintArea" localSheetId="8" hidden="1">'FN1'!$A$1:$I$114</definedName>
    <definedName name="Z_03674138_A9FA_46A6_AB09_A74C70852C0D_.wvu.PrintArea" localSheetId="9" hidden="1">'G - General Pay Plan'!$A$1:$H$269</definedName>
    <definedName name="Z_03674138_A9FA_46A6_AB09_A74C70852C0D_.wvu.PrintArea" localSheetId="11" hidden="1">'H1'!$A$1:$E$9</definedName>
    <definedName name="Z_03674138_A9FA_46A6_AB09_A74C70852C0D_.wvu.PrintArea" localSheetId="12" hidden="1">'I -Signals &amp; Electronics (rep)'!$A$1:$J$26</definedName>
    <definedName name="Z_03674138_A9FA_46A6_AB09_A74C70852C0D_.wvu.PrintArea" localSheetId="13" hidden="1">'J- Police Mgmt (rep)'!$A$1:$G$10</definedName>
    <definedName name="Z_03674138_A9FA_46A6_AB09_A74C70852C0D_.wvu.PrintArea" localSheetId="14" hidden="1">'J1'!$A$1:$E$26</definedName>
    <definedName name="Z_03674138_A9FA_46A6_AB09_A74C70852C0D_.wvu.PrintArea" localSheetId="0" hidden="1">'Job Table'!$A$1:$H$321</definedName>
    <definedName name="Z_03674138_A9FA_46A6_AB09_A74C70852C0D_.wvu.PrintArea" localSheetId="15" hidden="1">'K- Fire Prevention (rep)'!$A$1:$J$6</definedName>
    <definedName name="Z_03674138_A9FA_46A6_AB09_A74C70852C0D_.wvu.PrintArea" localSheetId="16" hidden="1">'K1'!$A$1:$J$14</definedName>
    <definedName name="Z_03674138_A9FA_46A6_AB09_A74C70852C0D_.wvu.PrintArea" localSheetId="17" hidden="1">'L-Batt Chiefs (rep)'!$A$1:$H$7</definedName>
    <definedName name="Z_03674138_A9FA_46A6_AB09_A74C70852C0D_.wvu.PrintArea" localSheetId="18" hidden="1">'LU1'!$A$1:$D$11</definedName>
    <definedName name="Z_03674138_A9FA_46A6_AB09_A74C70852C0D_.wvu.PrintArea" localSheetId="20" hidden="1">'M1'!$A$1:$E$7</definedName>
    <definedName name="Z_03674138_A9FA_46A6_AB09_A74C70852C0D_.wvu.PrintArea" localSheetId="19" hidden="1">'M-Mid Mgmt'!$A$3:$H$24</definedName>
    <definedName name="Z_03674138_A9FA_46A6_AB09_A74C70852C0D_.wvu.PrintArea" localSheetId="21" hidden="1">'N-Fire (rep)'!$A$1:$I$22</definedName>
    <definedName name="Z_03674138_A9FA_46A6_AB09_A74C70852C0D_.wvu.PrintArea" localSheetId="23" hidden="1">'P1'!$A$1:$I$46</definedName>
    <definedName name="Z_03674138_A9FA_46A6_AB09_A74C70852C0D_.wvu.PrintArea" localSheetId="22" hidden="1">'P-Police (rep)'!$A$1:$I$14</definedName>
    <definedName name="Z_03674138_A9FA_46A6_AB09_A74C70852C0D_.wvu.PrintArea" localSheetId="24" hidden="1">'R-Rec Assts'!$A$1:$G$8</definedName>
    <definedName name="Z_03674138_A9FA_46A6_AB09_A74C70852C0D_.wvu.PrintArea" localSheetId="25" hidden="1">'S-Police Support Supvsr'!$A$1:$G$6</definedName>
    <definedName name="Z_03674138_A9FA_46A6_AB09_A74C70852C0D_.wvu.PrintArea" localSheetId="26" hidden="1">'T-City Manager eff 2-24-17'!$A$1:$F$6</definedName>
    <definedName name="Z_03674138_A9FA_46A6_AB09_A74C70852C0D_.wvu.PrintArea" localSheetId="27" hidden="1">'T-City Manager exp 2-23-17'!$A$1:$F$6</definedName>
    <definedName name="Z_03674138_A9FA_46A6_AB09_A74C70852C0D_.wvu.PrintArea" localSheetId="28" hidden="1">'U-Batt Chief (rep)'!$A$1:$H$6</definedName>
    <definedName name="Z_03674138_A9FA_46A6_AB09_A74C70852C0D_.wvu.PrintArea" localSheetId="29" hidden="1">'V-Fire Marshal'!$A$1:$H$6</definedName>
    <definedName name="Z_03674138_A9FA_46A6_AB09_A74C70852C0D_.wvu.PrintTitles" localSheetId="3" hidden="1">'C- City Council eff 1-7-17'!$1:$2</definedName>
    <definedName name="Z_03674138_A9FA_46A6_AB09_A74C70852C0D_.wvu.PrintTitles" localSheetId="4" hidden="1">'C- City Council exp 1-6-17'!$1:$2</definedName>
    <definedName name="Z_03674138_A9FA_46A6_AB09_A74C70852C0D_.wvu.PrintTitles" localSheetId="5" hidden="1">'D- Police Support (rep)'!$1:$2</definedName>
    <definedName name="Z_03674138_A9FA_46A6_AB09_A74C70852C0D_.wvu.PrintTitles" localSheetId="6" hidden="1">'E -Executive'!$1:$2</definedName>
    <definedName name="Z_03674138_A9FA_46A6_AB09_A74C70852C0D_.wvu.PrintTitles" localSheetId="7" hidden="1">'F- Firefighters (rep)'!$1:$2</definedName>
    <definedName name="Z_03674138_A9FA_46A6_AB09_A74C70852C0D_.wvu.PrintTitles" localSheetId="9" hidden="1">'G - General Pay Plan'!$1:$2</definedName>
    <definedName name="Z_03674138_A9FA_46A6_AB09_A74C70852C0D_.wvu.PrintTitles" localSheetId="12" hidden="1">'I -Signals &amp; Electronics (rep)'!$1:$2</definedName>
    <definedName name="Z_03674138_A9FA_46A6_AB09_A74C70852C0D_.wvu.PrintTitles" localSheetId="13" hidden="1">'J- Police Mgmt (rep)'!$1:$2</definedName>
    <definedName name="Z_03674138_A9FA_46A6_AB09_A74C70852C0D_.wvu.PrintTitles" localSheetId="0" hidden="1">'Job Table'!$1:$1</definedName>
    <definedName name="Z_03674138_A9FA_46A6_AB09_A74C70852C0D_.wvu.PrintTitles" localSheetId="15" hidden="1">'K- Fire Prevention (rep)'!$1:$2</definedName>
    <definedName name="Z_03674138_A9FA_46A6_AB09_A74C70852C0D_.wvu.PrintTitles" localSheetId="17" hidden="1">'L-Batt Chiefs (rep)'!$1:$2</definedName>
    <definedName name="Z_03674138_A9FA_46A6_AB09_A74C70852C0D_.wvu.PrintTitles" localSheetId="19" hidden="1">'M-Mid Mgmt'!$1:$2</definedName>
    <definedName name="Z_03674138_A9FA_46A6_AB09_A74C70852C0D_.wvu.PrintTitles" localSheetId="21" hidden="1">'N-Fire (rep)'!$1:$2</definedName>
    <definedName name="Z_03674138_A9FA_46A6_AB09_A74C70852C0D_.wvu.PrintTitles" localSheetId="22" hidden="1">'P-Police (rep)'!$1:$2</definedName>
    <definedName name="Z_03674138_A9FA_46A6_AB09_A74C70852C0D_.wvu.PrintTitles" localSheetId="24" hidden="1">'R-Rec Assts'!$1:$2</definedName>
    <definedName name="Z_03674138_A9FA_46A6_AB09_A74C70852C0D_.wvu.PrintTitles" localSheetId="25" hidden="1">'S-Police Support Supvsr'!$1:$2</definedName>
    <definedName name="Z_03674138_A9FA_46A6_AB09_A74C70852C0D_.wvu.PrintTitles" localSheetId="26" hidden="1">'T-City Manager eff 2-24-17'!$1:$2</definedName>
    <definedName name="Z_03674138_A9FA_46A6_AB09_A74C70852C0D_.wvu.PrintTitles" localSheetId="27" hidden="1">'T-City Manager exp 2-23-17'!$1:$2</definedName>
    <definedName name="Z_03674138_A9FA_46A6_AB09_A74C70852C0D_.wvu.PrintTitles" localSheetId="28" hidden="1">'U-Batt Chief (rep)'!$1:$2</definedName>
    <definedName name="Z_03674138_A9FA_46A6_AB09_A74C70852C0D_.wvu.PrintTitles" localSheetId="29" hidden="1">'V-Fire Marshal'!$1:$2</definedName>
    <definedName name="Z_03674138_A9FA_46A6_AB09_A74C70852C0D_.wvu.Rows" localSheetId="16" hidden="1">'K1'!$2:$26</definedName>
    <definedName name="Z_49073133_97C6_4E81_BEFE_D9E658C173F7_.wvu.PrintArea" localSheetId="1" hidden="1">'A- Maint (rep)'!$A$1:$J$11</definedName>
    <definedName name="Z_49073133_97C6_4E81_BEFE_D9E658C173F7_.wvu.PrintArea" localSheetId="3" hidden="1">'C- City Council eff 1-7-17'!$A$1:$F$11</definedName>
    <definedName name="Z_49073133_97C6_4E81_BEFE_D9E658C173F7_.wvu.PrintArea" localSheetId="4" hidden="1">'C- City Council exp 1-6-17'!$A$1:$F$11</definedName>
    <definedName name="Z_49073133_97C6_4E81_BEFE_D9E658C173F7_.wvu.PrintArea" localSheetId="5" hidden="1">'D- Police Support (rep)'!$A$1:$J$46</definedName>
    <definedName name="Z_49073133_97C6_4E81_BEFE_D9E658C173F7_.wvu.PrintArea" localSheetId="6" hidden="1">'E -Executive'!$A$1:$H$23</definedName>
    <definedName name="Z_49073133_97C6_4E81_BEFE_D9E658C173F7_.wvu.PrintArea" localSheetId="7" hidden="1">'F- Firefighters (rep)'!$A$1:$I$43</definedName>
    <definedName name="Z_49073133_97C6_4E81_BEFE_D9E658C173F7_.wvu.PrintArea" localSheetId="8" hidden="1">'FN1'!$A$1:$I$114</definedName>
    <definedName name="Z_49073133_97C6_4E81_BEFE_D9E658C173F7_.wvu.PrintArea" localSheetId="9" hidden="1">'G - General Pay Plan'!$A$1:$H$269</definedName>
    <definedName name="Z_49073133_97C6_4E81_BEFE_D9E658C173F7_.wvu.PrintArea" localSheetId="11" hidden="1">'H1'!$A$1:$E$9</definedName>
    <definedName name="Z_49073133_97C6_4E81_BEFE_D9E658C173F7_.wvu.PrintArea" localSheetId="12" hidden="1">'I -Signals &amp; Electronics (rep)'!$A$1:$J$26</definedName>
    <definedName name="Z_49073133_97C6_4E81_BEFE_D9E658C173F7_.wvu.PrintArea" localSheetId="13" hidden="1">'J- Police Mgmt (rep)'!$A$1:$G$10</definedName>
    <definedName name="Z_49073133_97C6_4E81_BEFE_D9E658C173F7_.wvu.PrintArea" localSheetId="14" hidden="1">'J1'!$A$1:$E$26</definedName>
    <definedName name="Z_49073133_97C6_4E81_BEFE_D9E658C173F7_.wvu.PrintArea" localSheetId="0" hidden="1">'Job Table'!$A$1:$H$321</definedName>
    <definedName name="Z_49073133_97C6_4E81_BEFE_D9E658C173F7_.wvu.PrintArea" localSheetId="15" hidden="1">'K- Fire Prevention (rep)'!$A$1:$J$6</definedName>
    <definedName name="Z_49073133_97C6_4E81_BEFE_D9E658C173F7_.wvu.PrintArea" localSheetId="16" hidden="1">'K1'!$A$1:$J$14</definedName>
    <definedName name="Z_49073133_97C6_4E81_BEFE_D9E658C173F7_.wvu.PrintArea" localSheetId="17" hidden="1">'L-Batt Chiefs (rep)'!$A$1:$H$7</definedName>
    <definedName name="Z_49073133_97C6_4E81_BEFE_D9E658C173F7_.wvu.PrintArea" localSheetId="18" hidden="1">'LU1'!$A$1:$D$11</definedName>
    <definedName name="Z_49073133_97C6_4E81_BEFE_D9E658C173F7_.wvu.PrintArea" localSheetId="20" hidden="1">'M1'!$A$1:$E$7</definedName>
    <definedName name="Z_49073133_97C6_4E81_BEFE_D9E658C173F7_.wvu.PrintArea" localSheetId="19" hidden="1">'M-Mid Mgmt'!$A$3:$H$24</definedName>
    <definedName name="Z_49073133_97C6_4E81_BEFE_D9E658C173F7_.wvu.PrintArea" localSheetId="21" hidden="1">'N-Fire (rep)'!$A$1:$I$22</definedName>
    <definedName name="Z_49073133_97C6_4E81_BEFE_D9E658C173F7_.wvu.PrintArea" localSheetId="23" hidden="1">'P1'!$A$1:$I$46</definedName>
    <definedName name="Z_49073133_97C6_4E81_BEFE_D9E658C173F7_.wvu.PrintArea" localSheetId="22" hidden="1">'P-Police (rep)'!$A$1:$I$14</definedName>
    <definedName name="Z_49073133_97C6_4E81_BEFE_D9E658C173F7_.wvu.PrintArea" localSheetId="24" hidden="1">'R-Rec Assts'!$A$1:$G$8</definedName>
    <definedName name="Z_49073133_97C6_4E81_BEFE_D9E658C173F7_.wvu.PrintArea" localSheetId="25" hidden="1">'S-Police Support Supvsr'!$A$1:$G$6</definedName>
    <definedName name="Z_49073133_97C6_4E81_BEFE_D9E658C173F7_.wvu.PrintArea" localSheetId="26" hidden="1">'T-City Manager eff 2-24-17'!$A$1:$F$6</definedName>
    <definedName name="Z_49073133_97C6_4E81_BEFE_D9E658C173F7_.wvu.PrintArea" localSheetId="27" hidden="1">'T-City Manager exp 2-23-17'!$A$1:$F$6</definedName>
    <definedName name="Z_49073133_97C6_4E81_BEFE_D9E658C173F7_.wvu.PrintArea" localSheetId="28" hidden="1">'U-Batt Chief (rep)'!$A$1:$H$6</definedName>
    <definedName name="Z_49073133_97C6_4E81_BEFE_D9E658C173F7_.wvu.PrintArea" localSheetId="29" hidden="1">'V-Fire Marshal'!$A$1:$H$6</definedName>
    <definedName name="Z_49073133_97C6_4E81_BEFE_D9E658C173F7_.wvu.PrintTitles" localSheetId="3" hidden="1">'C- City Council eff 1-7-17'!$1:$2</definedName>
    <definedName name="Z_49073133_97C6_4E81_BEFE_D9E658C173F7_.wvu.PrintTitles" localSheetId="4" hidden="1">'C- City Council exp 1-6-17'!$1:$2</definedName>
    <definedName name="Z_49073133_97C6_4E81_BEFE_D9E658C173F7_.wvu.PrintTitles" localSheetId="5" hidden="1">'D- Police Support (rep)'!$1:$2</definedName>
    <definedName name="Z_49073133_97C6_4E81_BEFE_D9E658C173F7_.wvu.PrintTitles" localSheetId="6" hidden="1">'E -Executive'!$1:$2</definedName>
    <definedName name="Z_49073133_97C6_4E81_BEFE_D9E658C173F7_.wvu.PrintTitles" localSheetId="7" hidden="1">'F- Firefighters (rep)'!$1:$2</definedName>
    <definedName name="Z_49073133_97C6_4E81_BEFE_D9E658C173F7_.wvu.PrintTitles" localSheetId="9" hidden="1">'G - General Pay Plan'!$1:$2</definedName>
    <definedName name="Z_49073133_97C6_4E81_BEFE_D9E658C173F7_.wvu.PrintTitles" localSheetId="12" hidden="1">'I -Signals &amp; Electronics (rep)'!$1:$2</definedName>
    <definedName name="Z_49073133_97C6_4E81_BEFE_D9E658C173F7_.wvu.PrintTitles" localSheetId="13" hidden="1">'J- Police Mgmt (rep)'!$1:$2</definedName>
    <definedName name="Z_49073133_97C6_4E81_BEFE_D9E658C173F7_.wvu.PrintTitles" localSheetId="0" hidden="1">'Job Table'!$1:$1</definedName>
    <definedName name="Z_49073133_97C6_4E81_BEFE_D9E658C173F7_.wvu.PrintTitles" localSheetId="15" hidden="1">'K- Fire Prevention (rep)'!$1:$2</definedName>
    <definedName name="Z_49073133_97C6_4E81_BEFE_D9E658C173F7_.wvu.PrintTitles" localSheetId="17" hidden="1">'L-Batt Chiefs (rep)'!$1:$2</definedName>
    <definedName name="Z_49073133_97C6_4E81_BEFE_D9E658C173F7_.wvu.PrintTitles" localSheetId="19" hidden="1">'M-Mid Mgmt'!$1:$2</definedName>
    <definedName name="Z_49073133_97C6_4E81_BEFE_D9E658C173F7_.wvu.PrintTitles" localSheetId="21" hidden="1">'N-Fire (rep)'!$1:$2</definedName>
    <definedName name="Z_49073133_97C6_4E81_BEFE_D9E658C173F7_.wvu.PrintTitles" localSheetId="22" hidden="1">'P-Police (rep)'!$1:$2</definedName>
    <definedName name="Z_49073133_97C6_4E81_BEFE_D9E658C173F7_.wvu.PrintTitles" localSheetId="24" hidden="1">'R-Rec Assts'!$1:$2</definedName>
    <definedName name="Z_49073133_97C6_4E81_BEFE_D9E658C173F7_.wvu.PrintTitles" localSheetId="25" hidden="1">'S-Police Support Supvsr'!$1:$2</definedName>
    <definedName name="Z_49073133_97C6_4E81_BEFE_D9E658C173F7_.wvu.PrintTitles" localSheetId="26" hidden="1">'T-City Manager eff 2-24-17'!$1:$2</definedName>
    <definedName name="Z_49073133_97C6_4E81_BEFE_D9E658C173F7_.wvu.PrintTitles" localSheetId="27" hidden="1">'T-City Manager exp 2-23-17'!$1:$2</definedName>
    <definedName name="Z_49073133_97C6_4E81_BEFE_D9E658C173F7_.wvu.PrintTitles" localSheetId="28" hidden="1">'U-Batt Chief (rep)'!$1:$2</definedName>
    <definedName name="Z_49073133_97C6_4E81_BEFE_D9E658C173F7_.wvu.PrintTitles" localSheetId="29" hidden="1">'V-Fire Marshal'!$1:$2</definedName>
    <definedName name="Z_49073133_97C6_4E81_BEFE_D9E658C173F7_.wvu.Rows" localSheetId="16" hidden="1">'K1'!$2:$26</definedName>
    <definedName name="Z_6140C585_A678_4296_91B8_0C17DF653D09_.wvu.PrintArea" localSheetId="1" hidden="1">'A- Maint (rep)'!$A$1:$J$11</definedName>
    <definedName name="Z_6140C585_A678_4296_91B8_0C17DF653D09_.wvu.PrintArea" localSheetId="3" hidden="1">'C- City Council eff 1-7-17'!$A$1:$F$11</definedName>
    <definedName name="Z_6140C585_A678_4296_91B8_0C17DF653D09_.wvu.PrintArea" localSheetId="4" hidden="1">'C- City Council exp 1-6-17'!$A$1:$F$11</definedName>
    <definedName name="Z_6140C585_A678_4296_91B8_0C17DF653D09_.wvu.PrintArea" localSheetId="5" hidden="1">'D- Police Support (rep)'!$A$1:$J$46</definedName>
    <definedName name="Z_6140C585_A678_4296_91B8_0C17DF653D09_.wvu.PrintArea" localSheetId="6" hidden="1">'E -Executive'!$A$1:$H$23</definedName>
    <definedName name="Z_6140C585_A678_4296_91B8_0C17DF653D09_.wvu.PrintArea" localSheetId="7" hidden="1">'F- Firefighters (rep)'!$A$1:$I$43</definedName>
    <definedName name="Z_6140C585_A678_4296_91B8_0C17DF653D09_.wvu.PrintArea" localSheetId="8" hidden="1">'FN1'!$A$1:$I$114</definedName>
    <definedName name="Z_6140C585_A678_4296_91B8_0C17DF653D09_.wvu.PrintArea" localSheetId="9" hidden="1">'G - General Pay Plan'!$A$1:$H$269</definedName>
    <definedName name="Z_6140C585_A678_4296_91B8_0C17DF653D09_.wvu.PrintArea" localSheetId="11" hidden="1">'H1'!$A$1:$E$9</definedName>
    <definedName name="Z_6140C585_A678_4296_91B8_0C17DF653D09_.wvu.PrintArea" localSheetId="12" hidden="1">'I -Signals &amp; Electronics (rep)'!$A$1:$J$26</definedName>
    <definedName name="Z_6140C585_A678_4296_91B8_0C17DF653D09_.wvu.PrintArea" localSheetId="13" hidden="1">'J- Police Mgmt (rep)'!$A$1:$G$10</definedName>
    <definedName name="Z_6140C585_A678_4296_91B8_0C17DF653D09_.wvu.PrintArea" localSheetId="14" hidden="1">'J1'!$A$1:$E$26</definedName>
    <definedName name="Z_6140C585_A678_4296_91B8_0C17DF653D09_.wvu.PrintArea" localSheetId="0" hidden="1">'Job Table'!$A$1:$H$321</definedName>
    <definedName name="Z_6140C585_A678_4296_91B8_0C17DF653D09_.wvu.PrintArea" localSheetId="15" hidden="1">'K- Fire Prevention (rep)'!$A$1:$J$6</definedName>
    <definedName name="Z_6140C585_A678_4296_91B8_0C17DF653D09_.wvu.PrintArea" localSheetId="16" hidden="1">'K1'!$A$1:$J$14</definedName>
    <definedName name="Z_6140C585_A678_4296_91B8_0C17DF653D09_.wvu.PrintArea" localSheetId="17" hidden="1">'L-Batt Chiefs (rep)'!$A$1:$H$7</definedName>
    <definedName name="Z_6140C585_A678_4296_91B8_0C17DF653D09_.wvu.PrintArea" localSheetId="18" hidden="1">'LU1'!$A$1:$D$11</definedName>
    <definedName name="Z_6140C585_A678_4296_91B8_0C17DF653D09_.wvu.PrintArea" localSheetId="20" hidden="1">'M1'!$A$1:$E$7</definedName>
    <definedName name="Z_6140C585_A678_4296_91B8_0C17DF653D09_.wvu.PrintArea" localSheetId="19" hidden="1">'M-Mid Mgmt'!$A$3:$H$24</definedName>
    <definedName name="Z_6140C585_A678_4296_91B8_0C17DF653D09_.wvu.PrintArea" localSheetId="21" hidden="1">'N-Fire (rep)'!$A$1:$I$22</definedName>
    <definedName name="Z_6140C585_A678_4296_91B8_0C17DF653D09_.wvu.PrintArea" localSheetId="23" hidden="1">'P1'!$A$1:$I$46</definedName>
    <definedName name="Z_6140C585_A678_4296_91B8_0C17DF653D09_.wvu.PrintArea" localSheetId="22" hidden="1">'P-Police (rep)'!$A$1:$I$14</definedName>
    <definedName name="Z_6140C585_A678_4296_91B8_0C17DF653D09_.wvu.PrintArea" localSheetId="24" hidden="1">'R-Rec Assts'!$A$1:$G$8</definedName>
    <definedName name="Z_6140C585_A678_4296_91B8_0C17DF653D09_.wvu.PrintArea" localSheetId="25" hidden="1">'S-Police Support Supvsr'!$A$1:$G$6</definedName>
    <definedName name="Z_6140C585_A678_4296_91B8_0C17DF653D09_.wvu.PrintArea" localSheetId="26" hidden="1">'T-City Manager eff 2-24-17'!$A$1:$F$6</definedName>
    <definedName name="Z_6140C585_A678_4296_91B8_0C17DF653D09_.wvu.PrintArea" localSheetId="27" hidden="1">'T-City Manager exp 2-23-17'!$A$1:$F$6</definedName>
    <definedName name="Z_6140C585_A678_4296_91B8_0C17DF653D09_.wvu.PrintArea" localSheetId="28" hidden="1">'U-Batt Chief (rep)'!$A$1:$H$6</definedName>
    <definedName name="Z_6140C585_A678_4296_91B8_0C17DF653D09_.wvu.PrintArea" localSheetId="29" hidden="1">'V-Fire Marshal'!$A$1:$H$6</definedName>
    <definedName name="Z_6140C585_A678_4296_91B8_0C17DF653D09_.wvu.PrintTitles" localSheetId="3" hidden="1">'C- City Council eff 1-7-17'!$1:$2</definedName>
    <definedName name="Z_6140C585_A678_4296_91B8_0C17DF653D09_.wvu.PrintTitles" localSheetId="4" hidden="1">'C- City Council exp 1-6-17'!$1:$2</definedName>
    <definedName name="Z_6140C585_A678_4296_91B8_0C17DF653D09_.wvu.PrintTitles" localSheetId="5" hidden="1">'D- Police Support (rep)'!$1:$2</definedName>
    <definedName name="Z_6140C585_A678_4296_91B8_0C17DF653D09_.wvu.PrintTitles" localSheetId="6" hidden="1">'E -Executive'!$1:$2</definedName>
    <definedName name="Z_6140C585_A678_4296_91B8_0C17DF653D09_.wvu.PrintTitles" localSheetId="7" hidden="1">'F- Firefighters (rep)'!$1:$2</definedName>
    <definedName name="Z_6140C585_A678_4296_91B8_0C17DF653D09_.wvu.PrintTitles" localSheetId="9" hidden="1">'G - General Pay Plan'!$1:$2</definedName>
    <definedName name="Z_6140C585_A678_4296_91B8_0C17DF653D09_.wvu.PrintTitles" localSheetId="12" hidden="1">'I -Signals &amp; Electronics (rep)'!$1:$2</definedName>
    <definedName name="Z_6140C585_A678_4296_91B8_0C17DF653D09_.wvu.PrintTitles" localSheetId="13" hidden="1">'J- Police Mgmt (rep)'!$1:$2</definedName>
    <definedName name="Z_6140C585_A678_4296_91B8_0C17DF653D09_.wvu.PrintTitles" localSheetId="0" hidden="1">'Job Table'!$1:$1</definedName>
    <definedName name="Z_6140C585_A678_4296_91B8_0C17DF653D09_.wvu.PrintTitles" localSheetId="15" hidden="1">'K- Fire Prevention (rep)'!$1:$2</definedName>
    <definedName name="Z_6140C585_A678_4296_91B8_0C17DF653D09_.wvu.PrintTitles" localSheetId="17" hidden="1">'L-Batt Chiefs (rep)'!$1:$2</definedName>
    <definedName name="Z_6140C585_A678_4296_91B8_0C17DF653D09_.wvu.PrintTitles" localSheetId="19" hidden="1">'M-Mid Mgmt'!$1:$2</definedName>
    <definedName name="Z_6140C585_A678_4296_91B8_0C17DF653D09_.wvu.PrintTitles" localSheetId="21" hidden="1">'N-Fire (rep)'!$1:$2</definedName>
    <definedName name="Z_6140C585_A678_4296_91B8_0C17DF653D09_.wvu.PrintTitles" localSheetId="22" hidden="1">'P-Police (rep)'!$1:$2</definedName>
    <definedName name="Z_6140C585_A678_4296_91B8_0C17DF653D09_.wvu.PrintTitles" localSheetId="24" hidden="1">'R-Rec Assts'!$1:$2</definedName>
    <definedName name="Z_6140C585_A678_4296_91B8_0C17DF653D09_.wvu.PrintTitles" localSheetId="25" hidden="1">'S-Police Support Supvsr'!$1:$2</definedName>
    <definedName name="Z_6140C585_A678_4296_91B8_0C17DF653D09_.wvu.PrintTitles" localSheetId="26" hidden="1">'T-City Manager eff 2-24-17'!$1:$2</definedName>
    <definedName name="Z_6140C585_A678_4296_91B8_0C17DF653D09_.wvu.PrintTitles" localSheetId="27" hidden="1">'T-City Manager exp 2-23-17'!$1:$2</definedName>
    <definedName name="Z_6140C585_A678_4296_91B8_0C17DF653D09_.wvu.PrintTitles" localSheetId="28" hidden="1">'U-Batt Chief (rep)'!$1:$2</definedName>
    <definedName name="Z_6140C585_A678_4296_91B8_0C17DF653D09_.wvu.PrintTitles" localSheetId="29" hidden="1">'V-Fire Marshal'!$1:$2</definedName>
    <definedName name="Z_6140C585_A678_4296_91B8_0C17DF653D09_.wvu.Rows" localSheetId="16" hidden="1">'K1'!$2:$26</definedName>
  </definedNames>
  <calcPr calcId="171027" concurrentCalc="0"/>
  <customWorkbookViews>
    <customWorkbookView name="Ray Fleshman - Personal View" guid="{03674138-A9FA-46A6-AB09-A74C70852C0D}" mergeInterval="0" personalView="1" maximized="1" xWindow="1912" yWindow="-8" windowWidth="1936" windowHeight="1096" tabRatio="842" activeSheetId="10" showObjects="placeholders"/>
    <customWorkbookView name="City of Bellevue - Personal View" guid="{6140C585-A678-4296-91B8-0C17DF653D09}" mergeInterval="0" personalView="1" maximized="1" xWindow="-8" yWindow="-8" windowWidth="1936" windowHeight="1056" tabRatio="728" activeSheetId="30" showComments="commIndAndComment" showObjects="placeholders"/>
    <customWorkbookView name="Michelle Kast - Personal View" guid="{49073133-97C6-4E81-BEFE-D9E658C173F7}" mergeInterval="0" personalView="1" windowWidth="960" windowHeight="1032" tabRatio="728" activeSheetId="4" showObjects="placeholders"/>
  </customWorkbookViews>
</workbook>
</file>

<file path=xl/calcChain.xml><?xml version="1.0" encoding="utf-8"?>
<calcChain xmlns="http://schemas.openxmlformats.org/spreadsheetml/2006/main">
  <c r="G194" i="1" l="1"/>
  <c r="E194" i="1"/>
  <c r="G248" i="1"/>
  <c r="E248" i="1"/>
  <c r="G244" i="1"/>
  <c r="E244" i="1"/>
  <c r="G195" i="1"/>
  <c r="G251" i="1"/>
  <c r="E251" i="1"/>
  <c r="G245" i="1"/>
  <c r="E245" i="1"/>
  <c r="G249" i="1"/>
  <c r="E249" i="1"/>
  <c r="G240" i="1"/>
  <c r="E240" i="1"/>
  <c r="G252" i="1"/>
  <c r="E252" i="1"/>
  <c r="G250" i="1"/>
  <c r="G238" i="1"/>
  <c r="E250" i="1"/>
  <c r="E238" i="1"/>
  <c r="G239" i="1"/>
  <c r="E239" i="1"/>
  <c r="G241" i="1"/>
  <c r="E241" i="1"/>
  <c r="C248" i="1"/>
  <c r="C244" i="1"/>
  <c r="C194" i="1"/>
  <c r="C195" i="1"/>
  <c r="C251" i="1"/>
  <c r="C245" i="1"/>
  <c r="C249" i="1"/>
  <c r="C240" i="1"/>
  <c r="C252" i="1"/>
  <c r="C250" i="1"/>
  <c r="C238" i="1"/>
  <c r="C239" i="1"/>
  <c r="C241" i="1"/>
  <c r="A195" i="1"/>
  <c r="A251" i="1"/>
  <c r="A245" i="1"/>
  <c r="A249" i="1"/>
  <c r="A240" i="1"/>
  <c r="A252" i="1"/>
  <c r="A250" i="1"/>
  <c r="A238" i="1"/>
  <c r="A239" i="1"/>
  <c r="A194" i="1"/>
  <c r="A244" i="1"/>
  <c r="A248" i="1"/>
  <c r="B248" i="1"/>
  <c r="B244" i="1"/>
  <c r="B194" i="1"/>
  <c r="B195" i="1"/>
  <c r="B251" i="1"/>
  <c r="B245" i="1"/>
  <c r="B249" i="1"/>
  <c r="B240" i="1"/>
  <c r="B252" i="1"/>
  <c r="B250" i="1"/>
  <c r="B238" i="1"/>
  <c r="B239" i="1"/>
  <c r="A241" i="1"/>
  <c r="I248" i="1"/>
  <c r="I244" i="1"/>
  <c r="I194" i="1"/>
  <c r="I195" i="1"/>
  <c r="I251" i="1"/>
  <c r="I245" i="1"/>
  <c r="I249" i="1"/>
  <c r="I240" i="1"/>
  <c r="I252" i="1"/>
  <c r="I250" i="1"/>
  <c r="I238" i="1"/>
  <c r="I239" i="1"/>
  <c r="I241" i="1"/>
  <c r="B241" i="1"/>
  <c r="I83" i="39"/>
  <c r="I84" i="39"/>
  <c r="I85" i="39"/>
  <c r="H83" i="39"/>
  <c r="H84" i="39"/>
  <c r="H85" i="39"/>
  <c r="G83" i="39"/>
  <c r="G84" i="39"/>
  <c r="G85" i="39"/>
  <c r="F83" i="39"/>
  <c r="F84" i="39"/>
  <c r="F85" i="39"/>
  <c r="E83" i="39"/>
  <c r="E84" i="39"/>
  <c r="E85" i="39"/>
  <c r="D83" i="39"/>
  <c r="D84" i="39"/>
  <c r="D85" i="39"/>
  <c r="N84" i="39"/>
  <c r="R83" i="39"/>
  <c r="Q83" i="39"/>
  <c r="P83" i="39"/>
  <c r="O83" i="39"/>
  <c r="N83" i="39"/>
  <c r="I78" i="39"/>
  <c r="I79" i="39"/>
  <c r="I80" i="39"/>
  <c r="H78" i="39"/>
  <c r="H79" i="39"/>
  <c r="H80" i="39"/>
  <c r="G78" i="39"/>
  <c r="G79" i="39"/>
  <c r="G80" i="39"/>
  <c r="F78" i="39"/>
  <c r="F79" i="39"/>
  <c r="F80" i="39"/>
  <c r="E78" i="39"/>
  <c r="E79" i="39"/>
  <c r="E80" i="39"/>
  <c r="D78" i="39"/>
  <c r="D79" i="39"/>
  <c r="D80" i="39"/>
  <c r="I74" i="39"/>
  <c r="I75" i="39"/>
  <c r="I76" i="39"/>
  <c r="H74" i="39"/>
  <c r="H75" i="39"/>
  <c r="H76" i="39"/>
  <c r="G74" i="39"/>
  <c r="G75" i="39"/>
  <c r="G76" i="39"/>
  <c r="F74" i="39"/>
  <c r="F75" i="39"/>
  <c r="F76" i="39"/>
  <c r="E74" i="39"/>
  <c r="E75" i="39"/>
  <c r="E76" i="39"/>
  <c r="D74" i="39"/>
  <c r="D75" i="39"/>
  <c r="D76" i="39"/>
  <c r="I69" i="39"/>
  <c r="I70" i="39"/>
  <c r="I71" i="39"/>
  <c r="H69" i="39"/>
  <c r="H70" i="39"/>
  <c r="H71" i="39"/>
  <c r="G69" i="39"/>
  <c r="G70" i="39"/>
  <c r="G71" i="39"/>
  <c r="F69" i="39"/>
  <c r="F70" i="39"/>
  <c r="F71" i="39"/>
  <c r="E69" i="39"/>
  <c r="E70" i="39"/>
  <c r="E71" i="39"/>
  <c r="D69" i="39"/>
  <c r="D70" i="39"/>
  <c r="D71" i="39"/>
  <c r="N70" i="39"/>
  <c r="R69" i="39"/>
  <c r="Q69" i="39"/>
  <c r="P69" i="39"/>
  <c r="O69" i="39"/>
  <c r="N69" i="39"/>
  <c r="I65" i="39"/>
  <c r="I66" i="39"/>
  <c r="I67" i="39"/>
  <c r="H65" i="39"/>
  <c r="H66" i="39"/>
  <c r="H67" i="39"/>
  <c r="G65" i="39"/>
  <c r="G66" i="39"/>
  <c r="G67" i="39"/>
  <c r="F65" i="39"/>
  <c r="F66" i="39"/>
  <c r="F67" i="39"/>
  <c r="E65" i="39"/>
  <c r="E66" i="39"/>
  <c r="E67" i="39"/>
  <c r="D65" i="39"/>
  <c r="D66" i="39"/>
  <c r="D67" i="39"/>
  <c r="N66" i="39"/>
  <c r="R65" i="39"/>
  <c r="Q65" i="39"/>
  <c r="P65" i="39"/>
  <c r="O65" i="39"/>
  <c r="N65" i="39"/>
  <c r="I61" i="39"/>
  <c r="I62" i="39"/>
  <c r="I63" i="39"/>
  <c r="I57" i="39"/>
  <c r="I58" i="39"/>
  <c r="I59" i="39"/>
  <c r="H57" i="39"/>
  <c r="H58" i="39"/>
  <c r="H59" i="39"/>
  <c r="G57" i="39"/>
  <c r="G58" i="39"/>
  <c r="G59" i="39"/>
  <c r="F57" i="39"/>
  <c r="F58" i="39"/>
  <c r="F59" i="39"/>
  <c r="E57" i="39"/>
  <c r="E58" i="39"/>
  <c r="E59" i="39"/>
  <c r="D57" i="39"/>
  <c r="D58" i="39"/>
  <c r="D59" i="39"/>
  <c r="N58" i="39"/>
  <c r="R57" i="39"/>
  <c r="Q57" i="39"/>
  <c r="P57" i="39"/>
  <c r="O57" i="39"/>
  <c r="N57" i="39"/>
  <c r="I49" i="39"/>
  <c r="I50" i="39"/>
  <c r="I51" i="39"/>
  <c r="H49" i="39"/>
  <c r="H50" i="39"/>
  <c r="H51" i="39"/>
  <c r="G49" i="39"/>
  <c r="G50" i="39"/>
  <c r="G51" i="39"/>
  <c r="F49" i="39"/>
  <c r="F50" i="39"/>
  <c r="F51" i="39"/>
  <c r="E49" i="39"/>
  <c r="E50" i="39"/>
  <c r="E51" i="39"/>
  <c r="D49" i="39"/>
  <c r="D50" i="39"/>
  <c r="D51" i="39"/>
  <c r="N50" i="39"/>
  <c r="O49" i="39"/>
  <c r="N49" i="39"/>
  <c r="I43" i="39"/>
  <c r="I44" i="39"/>
  <c r="I45" i="39"/>
  <c r="H43" i="39"/>
  <c r="H44" i="39"/>
  <c r="H45" i="39"/>
  <c r="G43" i="39"/>
  <c r="G44" i="39"/>
  <c r="G45" i="39"/>
  <c r="F43" i="39"/>
  <c r="F44" i="39"/>
  <c r="F45" i="39"/>
  <c r="E43" i="39"/>
  <c r="E44" i="39"/>
  <c r="E45" i="39"/>
  <c r="D43" i="39"/>
  <c r="D44" i="39"/>
  <c r="D45" i="39"/>
  <c r="N44" i="39"/>
  <c r="R43" i="39"/>
  <c r="Q43" i="39"/>
  <c r="P43" i="39"/>
  <c r="O43" i="39"/>
  <c r="N43" i="39"/>
  <c r="I39" i="39"/>
  <c r="I40" i="39"/>
  <c r="I41" i="39"/>
  <c r="H39" i="39"/>
  <c r="H40" i="39"/>
  <c r="H41" i="39"/>
  <c r="G39" i="39"/>
  <c r="G40" i="39"/>
  <c r="G41" i="39"/>
  <c r="F39" i="39"/>
  <c r="F40" i="39"/>
  <c r="F41" i="39"/>
  <c r="E39" i="39"/>
  <c r="E40" i="39"/>
  <c r="E41" i="39"/>
  <c r="D39" i="39"/>
  <c r="D40" i="39"/>
  <c r="D41" i="39"/>
  <c r="I35" i="39"/>
  <c r="I36" i="39"/>
  <c r="I37" i="39"/>
  <c r="H35" i="39"/>
  <c r="H36" i="39"/>
  <c r="H37" i="39"/>
  <c r="G35" i="39"/>
  <c r="G36" i="39"/>
  <c r="G37" i="39"/>
  <c r="F35" i="39"/>
  <c r="F36" i="39"/>
  <c r="F37" i="39"/>
  <c r="E35" i="39"/>
  <c r="E36" i="39"/>
  <c r="E37" i="39"/>
  <c r="D35" i="39"/>
  <c r="D36" i="39"/>
  <c r="D37" i="39"/>
  <c r="N36" i="39"/>
  <c r="R35" i="39"/>
  <c r="Q35" i="39"/>
  <c r="P35" i="39"/>
  <c r="O35" i="39"/>
  <c r="N35" i="39"/>
  <c r="I31" i="39"/>
  <c r="I32" i="39"/>
  <c r="I33" i="39"/>
  <c r="H31" i="39"/>
  <c r="H32" i="39"/>
  <c r="H33" i="39"/>
  <c r="G31" i="39"/>
  <c r="G32" i="39"/>
  <c r="G33" i="39"/>
  <c r="F31" i="39"/>
  <c r="F32" i="39"/>
  <c r="F33" i="39"/>
  <c r="E31" i="39"/>
  <c r="E32" i="39"/>
  <c r="E33" i="39"/>
  <c r="D31" i="39"/>
  <c r="D32" i="39"/>
  <c r="D33" i="39"/>
  <c r="N32" i="39"/>
  <c r="R31" i="39"/>
  <c r="Q31" i="39"/>
  <c r="P31" i="39"/>
  <c r="O31" i="39"/>
  <c r="N31" i="39"/>
  <c r="I7" i="39"/>
  <c r="I27" i="39"/>
  <c r="I28" i="39"/>
  <c r="I29" i="39"/>
  <c r="I23" i="39"/>
  <c r="I24" i="39"/>
  <c r="I25" i="39"/>
  <c r="H23" i="39"/>
  <c r="H24" i="39"/>
  <c r="H25" i="39"/>
  <c r="G23" i="39"/>
  <c r="G24" i="39"/>
  <c r="G25" i="39"/>
  <c r="F23" i="39"/>
  <c r="F24" i="39"/>
  <c r="F25" i="39"/>
  <c r="E23" i="39"/>
  <c r="E24" i="39"/>
  <c r="E25" i="39"/>
  <c r="D23" i="39"/>
  <c r="D24" i="39"/>
  <c r="D25" i="39"/>
  <c r="I19" i="39"/>
  <c r="I20" i="39"/>
  <c r="I21" i="39"/>
  <c r="H19" i="39"/>
  <c r="H20" i="39"/>
  <c r="H21" i="39"/>
  <c r="G19" i="39"/>
  <c r="G20" i="39"/>
  <c r="G21" i="39"/>
  <c r="F19" i="39"/>
  <c r="F20" i="39"/>
  <c r="F21" i="39"/>
  <c r="E19" i="39"/>
  <c r="E20" i="39"/>
  <c r="E21" i="39"/>
  <c r="D19" i="39"/>
  <c r="D20" i="39"/>
  <c r="D21" i="39"/>
  <c r="N20" i="39"/>
  <c r="R19" i="39"/>
  <c r="Q19" i="39"/>
  <c r="P19" i="39"/>
  <c r="O19" i="39"/>
  <c r="N19" i="39"/>
  <c r="I15" i="39"/>
  <c r="I16" i="39"/>
  <c r="I17" i="39"/>
  <c r="H15" i="39"/>
  <c r="H16" i="39"/>
  <c r="H17" i="39"/>
  <c r="G15" i="39"/>
  <c r="G16" i="39"/>
  <c r="G17" i="39"/>
  <c r="F15" i="39"/>
  <c r="F16" i="39"/>
  <c r="F17" i="39"/>
  <c r="E15" i="39"/>
  <c r="E16" i="39"/>
  <c r="E17" i="39"/>
  <c r="D15" i="39"/>
  <c r="D16" i="39"/>
  <c r="D17" i="39"/>
  <c r="N16" i="39"/>
  <c r="R15" i="39"/>
  <c r="Q15" i="39"/>
  <c r="P15" i="39"/>
  <c r="O15" i="39"/>
  <c r="N15" i="39"/>
  <c r="I11" i="39"/>
  <c r="I12" i="39"/>
  <c r="I13" i="39"/>
  <c r="H11" i="39"/>
  <c r="H12" i="39"/>
  <c r="H13" i="39"/>
  <c r="G11" i="39"/>
  <c r="G12" i="39"/>
  <c r="G13" i="39"/>
  <c r="F11" i="39"/>
  <c r="F12" i="39"/>
  <c r="F13" i="39"/>
  <c r="E11" i="39"/>
  <c r="E12" i="39"/>
  <c r="E13" i="39"/>
  <c r="D11" i="39"/>
  <c r="D12" i="39"/>
  <c r="D13" i="39"/>
  <c r="N12" i="39"/>
  <c r="R11" i="39"/>
  <c r="Q11" i="39"/>
  <c r="P11" i="39"/>
  <c r="O11" i="39"/>
  <c r="N11" i="39"/>
  <c r="I8" i="39"/>
  <c r="I9" i="39"/>
  <c r="H7" i="39"/>
  <c r="H8" i="39"/>
  <c r="H9" i="39"/>
  <c r="G7" i="39"/>
  <c r="G8" i="39"/>
  <c r="G9" i="39"/>
  <c r="F7" i="39"/>
  <c r="F8" i="39"/>
  <c r="F9" i="39"/>
  <c r="E7" i="39"/>
  <c r="E8" i="39"/>
  <c r="E9" i="39"/>
  <c r="D7" i="39"/>
  <c r="D8" i="39"/>
  <c r="D9" i="39"/>
  <c r="N8" i="39"/>
  <c r="R7" i="39"/>
  <c r="Q7" i="39"/>
  <c r="P7" i="39"/>
  <c r="O7" i="39"/>
  <c r="N7" i="39"/>
  <c r="I3" i="39"/>
  <c r="I4" i="39"/>
  <c r="I5" i="39"/>
  <c r="H3" i="39"/>
  <c r="H4" i="39"/>
  <c r="H5" i="39"/>
  <c r="G3" i="39"/>
  <c r="G4" i="39"/>
  <c r="G5" i="39"/>
  <c r="F3" i="39"/>
  <c r="F4" i="39"/>
  <c r="F5" i="39"/>
  <c r="E3" i="39"/>
  <c r="E4" i="39"/>
  <c r="E5" i="39"/>
  <c r="D3" i="39"/>
  <c r="D4" i="39"/>
  <c r="D5" i="39"/>
  <c r="N4" i="39"/>
  <c r="O3" i="39"/>
  <c r="N3" i="39"/>
  <c r="G47" i="1"/>
  <c r="E4" i="38"/>
  <c r="E5" i="38"/>
  <c r="E3" i="38"/>
  <c r="B75" i="1"/>
  <c r="B60" i="1"/>
  <c r="B45" i="1"/>
  <c r="B46" i="1"/>
  <c r="B79" i="1"/>
  <c r="B80" i="1"/>
  <c r="B81" i="1"/>
  <c r="B83" i="1"/>
  <c r="B84" i="1"/>
  <c r="B85" i="1"/>
  <c r="B86" i="1"/>
  <c r="B122" i="1"/>
  <c r="B44" i="1"/>
  <c r="B82" i="1"/>
  <c r="B16" i="1"/>
  <c r="C247" i="1"/>
  <c r="C237" i="1"/>
  <c r="C243" i="1"/>
  <c r="B243" i="1"/>
  <c r="B237" i="1"/>
  <c r="B247" i="1"/>
  <c r="A247" i="1"/>
  <c r="A237" i="1"/>
  <c r="A243" i="1"/>
  <c r="G211" i="1"/>
  <c r="G75" i="1"/>
  <c r="G60" i="1"/>
  <c r="A60" i="1"/>
  <c r="A75" i="1"/>
  <c r="A211" i="1"/>
  <c r="E10" i="37"/>
  <c r="E4" i="37"/>
  <c r="E7" i="37"/>
  <c r="E4" i="27"/>
  <c r="I217" i="1"/>
  <c r="I247" i="1"/>
  <c r="I237" i="1"/>
  <c r="I243" i="1"/>
  <c r="I340" i="1"/>
  <c r="I210" i="1"/>
  <c r="I209" i="1"/>
  <c r="I302" i="1"/>
  <c r="I89" i="1"/>
  <c r="I303" i="1"/>
  <c r="I28" i="1"/>
  <c r="I301" i="1"/>
  <c r="I98" i="1"/>
  <c r="I312" i="1"/>
  <c r="B131" i="1"/>
  <c r="I277" i="1"/>
  <c r="C277" i="1"/>
  <c r="B277" i="1"/>
  <c r="A277" i="1"/>
  <c r="B12" i="1"/>
  <c r="C340" i="1"/>
  <c r="C210" i="1"/>
  <c r="C209" i="1"/>
  <c r="C302" i="1"/>
  <c r="C89" i="1"/>
  <c r="C303" i="1"/>
  <c r="C28" i="1"/>
  <c r="C301" i="1"/>
  <c r="B340" i="1"/>
  <c r="B210" i="1"/>
  <c r="B209" i="1"/>
  <c r="B302" i="1"/>
  <c r="B89" i="1"/>
  <c r="B303" i="1"/>
  <c r="B28" i="1"/>
  <c r="B301" i="1"/>
  <c r="A340" i="1"/>
  <c r="A210" i="1"/>
  <c r="A209" i="1"/>
  <c r="A302" i="1"/>
  <c r="A89" i="1"/>
  <c r="A303" i="1"/>
  <c r="A28" i="1"/>
  <c r="A301" i="1"/>
  <c r="I278" i="1"/>
  <c r="C278" i="1"/>
  <c r="B278" i="1"/>
  <c r="B327" i="1"/>
  <c r="B58" i="1"/>
  <c r="B144" i="1"/>
  <c r="A278" i="1"/>
  <c r="C98" i="1"/>
  <c r="B98" i="1"/>
  <c r="A98" i="1"/>
  <c r="I324" i="1"/>
  <c r="C324" i="1"/>
  <c r="B324" i="1"/>
  <c r="A324" i="1"/>
  <c r="C312" i="1"/>
  <c r="B312" i="1"/>
  <c r="A312" i="1"/>
  <c r="C79" i="1"/>
  <c r="F8" i="14"/>
  <c r="F9" i="14"/>
  <c r="F7" i="14"/>
  <c r="E7" i="14"/>
  <c r="E8" i="14"/>
  <c r="E9" i="14"/>
  <c r="F3" i="14"/>
  <c r="F4" i="14"/>
  <c r="F5" i="14"/>
  <c r="E3" i="14"/>
  <c r="E4" i="14"/>
  <c r="E5" i="14"/>
  <c r="E5" i="25"/>
  <c r="H3" i="36"/>
  <c r="G277" i="1"/>
  <c r="G3" i="36"/>
  <c r="G4" i="36"/>
  <c r="G5" i="36"/>
  <c r="F3" i="36"/>
  <c r="F4" i="36"/>
  <c r="F5" i="36"/>
  <c r="E3" i="36"/>
  <c r="E277" i="1"/>
  <c r="G4" i="29"/>
  <c r="F4" i="29"/>
  <c r="E4" i="29"/>
  <c r="G11" i="34"/>
  <c r="E247" i="1"/>
  <c r="H11" i="34"/>
  <c r="G247" i="1"/>
  <c r="H7" i="34"/>
  <c r="G237" i="1"/>
  <c r="H3" i="34"/>
  <c r="G243" i="1"/>
  <c r="G3" i="34"/>
  <c r="F3" i="34"/>
  <c r="E3" i="34"/>
  <c r="D3" i="34"/>
  <c r="E243" i="1"/>
  <c r="G16" i="20"/>
  <c r="F16" i="20"/>
  <c r="E16" i="20"/>
  <c r="G4" i="20"/>
  <c r="F4" i="20"/>
  <c r="E4" i="20"/>
  <c r="I3" i="16"/>
  <c r="H3" i="16"/>
  <c r="G3" i="16"/>
  <c r="F3" i="16"/>
  <c r="E3" i="16"/>
  <c r="D3" i="16"/>
  <c r="G17" i="13"/>
  <c r="F17" i="13"/>
  <c r="E17" i="13"/>
  <c r="D17" i="13"/>
  <c r="H17" i="13"/>
  <c r="I17" i="13"/>
  <c r="G11" i="33"/>
  <c r="F11" i="33"/>
  <c r="E11" i="33"/>
  <c r="G7" i="33"/>
  <c r="F7" i="33"/>
  <c r="E7" i="33"/>
  <c r="G3" i="33"/>
  <c r="F3" i="33"/>
  <c r="E3" i="33"/>
  <c r="G262" i="10"/>
  <c r="F262" i="10"/>
  <c r="E262" i="10"/>
  <c r="G253" i="10"/>
  <c r="F253" i="10"/>
  <c r="E253" i="10"/>
  <c r="G239" i="10"/>
  <c r="F239" i="10"/>
  <c r="E239" i="10"/>
  <c r="G213" i="10"/>
  <c r="F213" i="10"/>
  <c r="E213" i="10"/>
  <c r="G203" i="10"/>
  <c r="F203" i="10"/>
  <c r="E203" i="10"/>
  <c r="G189" i="10"/>
  <c r="F189" i="10"/>
  <c r="E189" i="10"/>
  <c r="G168" i="10"/>
  <c r="F168" i="10"/>
  <c r="E168" i="10"/>
  <c r="G147" i="10"/>
  <c r="F147" i="10"/>
  <c r="E147" i="10"/>
  <c r="G136" i="10"/>
  <c r="F136" i="10"/>
  <c r="E136" i="10"/>
  <c r="G107" i="10"/>
  <c r="F107" i="10"/>
  <c r="E107" i="10"/>
  <c r="G87" i="10"/>
  <c r="F87" i="10"/>
  <c r="E87" i="10"/>
  <c r="G76" i="10"/>
  <c r="F76" i="10"/>
  <c r="E76" i="10"/>
  <c r="G65" i="10"/>
  <c r="F65" i="10"/>
  <c r="E65" i="10"/>
  <c r="G58" i="10"/>
  <c r="F58" i="10"/>
  <c r="E58" i="10"/>
  <c r="G49" i="10"/>
  <c r="F49" i="10"/>
  <c r="E49" i="10"/>
  <c r="G44" i="10"/>
  <c r="F44" i="10"/>
  <c r="E44" i="10"/>
  <c r="G40" i="10"/>
  <c r="F40" i="10"/>
  <c r="E40" i="10"/>
  <c r="G32" i="10"/>
  <c r="F32" i="10"/>
  <c r="E32" i="10"/>
  <c r="G28" i="10"/>
  <c r="F28" i="10"/>
  <c r="E28" i="10"/>
  <c r="G24" i="10"/>
  <c r="F24" i="10"/>
  <c r="E24" i="10"/>
  <c r="F20" i="10"/>
  <c r="E20" i="10"/>
  <c r="G20" i="10"/>
  <c r="G16" i="10"/>
  <c r="F16" i="10"/>
  <c r="E16" i="10"/>
  <c r="G12" i="10"/>
  <c r="F12" i="10"/>
  <c r="E12" i="10"/>
  <c r="G8" i="10"/>
  <c r="F8" i="10"/>
  <c r="E8" i="10"/>
  <c r="G4" i="10"/>
  <c r="E4" i="10"/>
  <c r="F4" i="10"/>
  <c r="G21" i="7"/>
  <c r="F21" i="7"/>
  <c r="E21" i="7"/>
  <c r="G9" i="7"/>
  <c r="F9" i="7"/>
  <c r="E9" i="7"/>
  <c r="G4" i="7"/>
  <c r="F4" i="7"/>
  <c r="E4" i="7"/>
  <c r="I55" i="31"/>
  <c r="H55" i="31"/>
  <c r="G55" i="31"/>
  <c r="F55" i="31"/>
  <c r="E55" i="31"/>
  <c r="D55" i="31"/>
  <c r="I51" i="31"/>
  <c r="H51" i="31"/>
  <c r="G51" i="31"/>
  <c r="F51" i="31"/>
  <c r="E51" i="31"/>
  <c r="D51" i="31"/>
  <c r="J47" i="31"/>
  <c r="I47" i="31"/>
  <c r="H47" i="31"/>
  <c r="G47" i="31"/>
  <c r="F47" i="31"/>
  <c r="E47" i="31"/>
  <c r="D47" i="31"/>
  <c r="I43" i="31"/>
  <c r="H43" i="31"/>
  <c r="G43" i="31"/>
  <c r="F43" i="31"/>
  <c r="E43" i="31"/>
  <c r="D43" i="31"/>
  <c r="I39" i="31"/>
  <c r="H39" i="31"/>
  <c r="G39" i="31"/>
  <c r="F39" i="31"/>
  <c r="E39" i="31"/>
  <c r="D39" i="31"/>
  <c r="I35" i="31"/>
  <c r="H35" i="31"/>
  <c r="G35" i="31"/>
  <c r="F35" i="31"/>
  <c r="E35" i="31"/>
  <c r="D35" i="31"/>
  <c r="I31" i="31"/>
  <c r="H31" i="31"/>
  <c r="G31" i="31"/>
  <c r="F31" i="31"/>
  <c r="E31" i="31"/>
  <c r="D31" i="31"/>
  <c r="I27" i="31"/>
  <c r="H27" i="31"/>
  <c r="G27" i="31"/>
  <c r="F27" i="31"/>
  <c r="E27" i="31"/>
  <c r="D27" i="31"/>
  <c r="I23" i="31"/>
  <c r="H23" i="31"/>
  <c r="G23" i="31"/>
  <c r="F23" i="31"/>
  <c r="E23" i="31"/>
  <c r="D23" i="31"/>
  <c r="I19" i="31"/>
  <c r="H19" i="31"/>
  <c r="G19" i="31"/>
  <c r="F19" i="31"/>
  <c r="E19" i="31"/>
  <c r="D19" i="31"/>
  <c r="I15" i="31"/>
  <c r="H15" i="31"/>
  <c r="G15" i="31"/>
  <c r="F15" i="31"/>
  <c r="E15" i="31"/>
  <c r="D15" i="31"/>
  <c r="I7" i="31"/>
  <c r="H7" i="31"/>
  <c r="G7" i="31"/>
  <c r="F7" i="31"/>
  <c r="E7" i="31"/>
  <c r="D7" i="31"/>
  <c r="D6" i="2"/>
  <c r="D13" i="31"/>
  <c r="D12" i="31"/>
  <c r="D11" i="31"/>
  <c r="E6" i="2"/>
  <c r="E13" i="31"/>
  <c r="E12" i="31"/>
  <c r="E11" i="31"/>
  <c r="F6" i="2"/>
  <c r="F13" i="31"/>
  <c r="F12" i="31"/>
  <c r="F11" i="31"/>
  <c r="G6" i="2"/>
  <c r="G13" i="31"/>
  <c r="G12" i="31"/>
  <c r="G11" i="31"/>
  <c r="H6" i="2"/>
  <c r="H13" i="31"/>
  <c r="H12" i="31"/>
  <c r="H11" i="31"/>
  <c r="I6" i="2"/>
  <c r="I13" i="31"/>
  <c r="I12" i="31"/>
  <c r="I11" i="31"/>
  <c r="I3" i="2"/>
  <c r="I5" i="31"/>
  <c r="I4" i="31"/>
  <c r="I3" i="31"/>
  <c r="H3" i="2"/>
  <c r="H5" i="31"/>
  <c r="H4" i="31"/>
  <c r="H3" i="31"/>
  <c r="G3" i="2"/>
  <c r="G5" i="31"/>
  <c r="G4" i="31"/>
  <c r="G3" i="31"/>
  <c r="F3" i="2"/>
  <c r="F5" i="31"/>
  <c r="F4" i="31"/>
  <c r="F3" i="31"/>
  <c r="E3" i="2"/>
  <c r="E5" i="31"/>
  <c r="E4" i="31"/>
  <c r="E3" i="31"/>
  <c r="D3" i="2"/>
  <c r="D5" i="31"/>
  <c r="D4" i="31"/>
  <c r="D3" i="31"/>
  <c r="N5" i="36"/>
  <c r="M5" i="36"/>
  <c r="M4" i="36"/>
  <c r="N3" i="36"/>
  <c r="M3" i="36"/>
  <c r="I42" i="24"/>
  <c r="I44" i="24"/>
  <c r="H42" i="24"/>
  <c r="H45" i="24"/>
  <c r="I34" i="24"/>
  <c r="I38" i="24"/>
  <c r="F19" i="24"/>
  <c r="F29" i="24"/>
  <c r="G19" i="24"/>
  <c r="G29" i="24"/>
  <c r="H19" i="24"/>
  <c r="H29" i="24"/>
  <c r="I19" i="24"/>
  <c r="I30" i="24"/>
  <c r="E19" i="24"/>
  <c r="E30" i="24"/>
  <c r="E12" i="24"/>
  <c r="E13" i="24"/>
  <c r="E14" i="24"/>
  <c r="E4" i="24"/>
  <c r="E5" i="24"/>
  <c r="E6" i="24"/>
  <c r="E7" i="24"/>
  <c r="E8" i="24"/>
  <c r="E9" i="24"/>
  <c r="E10" i="24"/>
  <c r="E3" i="24"/>
  <c r="I43" i="24"/>
  <c r="H43" i="24"/>
  <c r="I45" i="24"/>
  <c r="H44" i="24"/>
  <c r="H46" i="24"/>
  <c r="I36" i="24"/>
  <c r="F30" i="24"/>
  <c r="H30" i="24"/>
  <c r="G30" i="24"/>
  <c r="M3" i="34"/>
  <c r="N3" i="34"/>
  <c r="H4" i="34"/>
  <c r="H5" i="34"/>
  <c r="O3" i="34"/>
  <c r="P3" i="34"/>
  <c r="E4" i="34"/>
  <c r="E5" i="34"/>
  <c r="F4" i="34"/>
  <c r="F5" i="34"/>
  <c r="G4" i="34"/>
  <c r="G5" i="34"/>
  <c r="Q5" i="34"/>
  <c r="H8" i="34"/>
  <c r="H9" i="34"/>
  <c r="Q9" i="34"/>
  <c r="M12" i="34"/>
  <c r="P11" i="34"/>
  <c r="G12" i="34"/>
  <c r="G13" i="34"/>
  <c r="H12" i="34"/>
  <c r="H13" i="34"/>
  <c r="M4" i="34"/>
  <c r="D4" i="34"/>
  <c r="D5" i="34"/>
  <c r="C217" i="1"/>
  <c r="B217" i="1"/>
  <c r="A217" i="1"/>
  <c r="I307" i="1"/>
  <c r="I235" i="1"/>
  <c r="I48" i="1"/>
  <c r="I51" i="1"/>
  <c r="I153" i="1"/>
  <c r="G235" i="1"/>
  <c r="F235" i="1"/>
  <c r="E235" i="1"/>
  <c r="C235" i="1"/>
  <c r="G48" i="1"/>
  <c r="F48" i="1"/>
  <c r="E48" i="1"/>
  <c r="C48" i="1"/>
  <c r="C51" i="1"/>
  <c r="E51" i="1"/>
  <c r="F51" i="1"/>
  <c r="G51" i="1"/>
  <c r="C307" i="1"/>
  <c r="E307" i="1"/>
  <c r="F307" i="1"/>
  <c r="G307" i="1"/>
  <c r="B51" i="1"/>
  <c r="B48" i="1"/>
  <c r="B235" i="1"/>
  <c r="B307" i="1"/>
  <c r="A51" i="1"/>
  <c r="A48" i="1"/>
  <c r="A235" i="1"/>
  <c r="A307" i="1"/>
  <c r="F153" i="1"/>
  <c r="G153" i="1"/>
  <c r="E153" i="1"/>
  <c r="C153" i="1"/>
  <c r="B153" i="1"/>
  <c r="A153" i="1"/>
  <c r="I131" i="1"/>
  <c r="I116" i="1"/>
  <c r="I47" i="1"/>
  <c r="I246" i="1"/>
  <c r="I270" i="1"/>
  <c r="I269" i="1"/>
  <c r="I268" i="1"/>
  <c r="I121" i="1"/>
  <c r="I119" i="1"/>
  <c r="I129" i="1"/>
  <c r="I29" i="1"/>
  <c r="I311" i="1"/>
  <c r="I12" i="1"/>
  <c r="I74" i="1"/>
  <c r="I73" i="1"/>
  <c r="I72" i="1"/>
  <c r="I71" i="1"/>
  <c r="I68" i="1"/>
  <c r="I22" i="1"/>
  <c r="I105" i="1"/>
  <c r="I27" i="1"/>
  <c r="I26" i="1"/>
  <c r="I25" i="1"/>
  <c r="I24" i="1"/>
  <c r="I23" i="1"/>
  <c r="I21" i="1"/>
  <c r="I20" i="1"/>
  <c r="I19" i="1"/>
  <c r="I18" i="1"/>
  <c r="I17" i="1"/>
  <c r="I117" i="1"/>
  <c r="I133" i="1"/>
  <c r="I242" i="1"/>
  <c r="I236" i="1"/>
  <c r="I285" i="1"/>
  <c r="I189" i="1"/>
  <c r="I184" i="1"/>
  <c r="I160" i="1"/>
  <c r="I149" i="1"/>
  <c r="I144" i="1"/>
  <c r="I58" i="1"/>
  <c r="I327" i="1"/>
  <c r="I276" i="1"/>
  <c r="I216" i="1"/>
  <c r="I180" i="1"/>
  <c r="I167" i="1"/>
  <c r="I97" i="1"/>
  <c r="I96" i="1"/>
  <c r="I335" i="1"/>
  <c r="I330" i="1"/>
  <c r="I328" i="1"/>
  <c r="I314" i="1"/>
  <c r="I179" i="1"/>
  <c r="I159" i="1"/>
  <c r="I150" i="1"/>
  <c r="I104" i="1"/>
  <c r="I53" i="1"/>
  <c r="I43" i="1"/>
  <c r="I42" i="1"/>
  <c r="I38" i="1"/>
  <c r="I35" i="1"/>
  <c r="I334" i="1"/>
  <c r="I331" i="1"/>
  <c r="I329" i="1"/>
  <c r="I281" i="1"/>
  <c r="I267" i="1"/>
  <c r="I254" i="1"/>
  <c r="I233" i="1"/>
  <c r="I228" i="1"/>
  <c r="I227" i="1"/>
  <c r="I188" i="1"/>
  <c r="I158" i="1"/>
  <c r="I151" i="1"/>
  <c r="I145" i="1"/>
  <c r="I135" i="1"/>
  <c r="I134" i="1"/>
  <c r="I114" i="1"/>
  <c r="I112" i="1"/>
  <c r="I108" i="1"/>
  <c r="I99" i="1"/>
  <c r="I91" i="1"/>
  <c r="I41" i="1"/>
  <c r="I36" i="1"/>
  <c r="I32" i="1"/>
  <c r="I13" i="1"/>
  <c r="I290" i="1"/>
  <c r="I289" i="1"/>
  <c r="I256" i="1"/>
  <c r="I229" i="1"/>
  <c r="I226" i="1"/>
  <c r="I220" i="1"/>
  <c r="I187" i="1"/>
  <c r="I183" i="1"/>
  <c r="I166" i="1"/>
  <c r="I339" i="1"/>
  <c r="I332" i="1"/>
  <c r="I325" i="1"/>
  <c r="I282" i="1"/>
  <c r="I259" i="1"/>
  <c r="I222" i="1"/>
  <c r="I178" i="1"/>
  <c r="I175" i="1"/>
  <c r="I171" i="1"/>
  <c r="I102" i="1"/>
  <c r="I87" i="1"/>
  <c r="I7" i="1"/>
  <c r="I337" i="1"/>
  <c r="I326" i="1"/>
  <c r="I299" i="1"/>
  <c r="I298" i="1"/>
  <c r="I297" i="1"/>
  <c r="I295" i="1"/>
  <c r="I292" i="1"/>
  <c r="I279" i="1"/>
  <c r="I261" i="1"/>
  <c r="I234" i="1"/>
  <c r="I215" i="1"/>
  <c r="I207" i="1"/>
  <c r="I164" i="1"/>
  <c r="I157" i="1"/>
  <c r="I152" i="1"/>
  <c r="I148" i="1"/>
  <c r="I103" i="1"/>
  <c r="I52" i="1"/>
  <c r="I50" i="1"/>
  <c r="I9" i="1"/>
  <c r="I322" i="1"/>
  <c r="I287" i="1"/>
  <c r="I253" i="1"/>
  <c r="I231" i="1"/>
  <c r="I230" i="1"/>
  <c r="I186" i="1"/>
  <c r="I174" i="1"/>
  <c r="I138" i="1"/>
  <c r="I137" i="1"/>
  <c r="I136" i="1"/>
  <c r="I132" i="1"/>
  <c r="I113" i="1"/>
  <c r="I101" i="1"/>
  <c r="I94" i="1"/>
  <c r="I93" i="1"/>
  <c r="I77" i="1"/>
  <c r="I67" i="1"/>
  <c r="I56" i="1"/>
  <c r="I40" i="1"/>
  <c r="I31" i="1"/>
  <c r="I336" i="1"/>
  <c r="I333" i="1"/>
  <c r="I318" i="1"/>
  <c r="I317" i="1"/>
  <c r="I192" i="1"/>
  <c r="I170" i="1"/>
  <c r="I146" i="1"/>
  <c r="I111" i="1"/>
  <c r="I110" i="1"/>
  <c r="I323" i="1"/>
  <c r="I294" i="1"/>
  <c r="I293" i="1"/>
  <c r="I291" i="1"/>
  <c r="I288" i="1"/>
  <c r="I286" i="1"/>
  <c r="I280" i="1"/>
  <c r="I275" i="1"/>
  <c r="I260" i="1"/>
  <c r="I255" i="1"/>
  <c r="I221" i="1"/>
  <c r="I182" i="1"/>
  <c r="I165" i="1"/>
  <c r="I163" i="1"/>
  <c r="I156" i="1"/>
  <c r="I147" i="1"/>
  <c r="I139" i="1"/>
  <c r="I109" i="1"/>
  <c r="I69" i="1"/>
  <c r="I59" i="1"/>
  <c r="I55" i="1"/>
  <c r="I54" i="1"/>
  <c r="I49" i="1"/>
  <c r="I37" i="1"/>
  <c r="I15" i="1"/>
  <c r="I14" i="1"/>
  <c r="I5" i="1"/>
  <c r="I338" i="1"/>
  <c r="I321" i="1"/>
  <c r="I316" i="1"/>
  <c r="I273" i="1"/>
  <c r="I266" i="1"/>
  <c r="I262" i="1"/>
  <c r="I225" i="1"/>
  <c r="I199" i="1"/>
  <c r="I191" i="1"/>
  <c r="I185" i="1"/>
  <c r="I177" i="1"/>
  <c r="I169" i="1"/>
  <c r="I140" i="1"/>
  <c r="I123" i="1"/>
  <c r="I90" i="1"/>
  <c r="I88" i="1"/>
  <c r="I76" i="1"/>
  <c r="I8" i="1"/>
  <c r="I263" i="1"/>
  <c r="I257" i="1"/>
  <c r="I223" i="1"/>
  <c r="I181" i="1"/>
  <c r="I173" i="1"/>
  <c r="I142" i="1"/>
  <c r="I141" i="1"/>
  <c r="I115" i="1"/>
  <c r="I57" i="1"/>
  <c r="I34" i="1"/>
  <c r="I315" i="1"/>
  <c r="I258" i="1"/>
  <c r="I107" i="1"/>
  <c r="I106" i="1"/>
  <c r="I100" i="1"/>
  <c r="I92" i="1"/>
  <c r="I66" i="1"/>
  <c r="I39" i="1"/>
  <c r="I11" i="1"/>
  <c r="I10" i="1"/>
  <c r="I284" i="1"/>
  <c r="I271" i="1"/>
  <c r="I264" i="1"/>
  <c r="I190" i="1"/>
  <c r="I168" i="1"/>
  <c r="I162" i="1"/>
  <c r="I300" i="1"/>
  <c r="I232" i="1"/>
  <c r="I198" i="1"/>
  <c r="I172" i="1"/>
  <c r="I143" i="1"/>
  <c r="I33" i="1"/>
  <c r="I6" i="1"/>
  <c r="I2" i="1"/>
  <c r="I320" i="1"/>
  <c r="I283" i="1"/>
  <c r="I265" i="1"/>
  <c r="I176" i="1"/>
  <c r="I313" i="1"/>
  <c r="I310" i="1"/>
  <c r="I296" i="1"/>
  <c r="I274" i="1"/>
  <c r="I208" i="1"/>
  <c r="I161" i="1"/>
  <c r="I65" i="1"/>
  <c r="I4" i="1"/>
  <c r="I95" i="1"/>
  <c r="I3" i="1"/>
  <c r="I218" i="1"/>
  <c r="I272" i="1"/>
  <c r="I309" i="1"/>
  <c r="I224" i="1"/>
  <c r="I219" i="1"/>
  <c r="I308" i="1"/>
  <c r="I120" i="1"/>
  <c r="I118" i="1"/>
  <c r="I130" i="1"/>
  <c r="I128" i="1"/>
  <c r="I126" i="1"/>
  <c r="I125" i="1"/>
  <c r="I127" i="1"/>
  <c r="I124" i="1"/>
  <c r="I211" i="1"/>
  <c r="I75" i="1"/>
  <c r="I60" i="1"/>
  <c r="I64" i="1"/>
  <c r="I205" i="1"/>
  <c r="I202" i="1"/>
  <c r="I62" i="1"/>
  <c r="I197" i="1"/>
  <c r="I213" i="1"/>
  <c r="I319" i="1"/>
  <c r="I155" i="1"/>
  <c r="I305" i="1"/>
  <c r="I154" i="1"/>
  <c r="I193" i="1"/>
  <c r="I61" i="1"/>
  <c r="I306" i="1"/>
  <c r="I212" i="1"/>
  <c r="I196" i="1"/>
  <c r="I304" i="1"/>
  <c r="I214" i="1"/>
  <c r="I206" i="1"/>
  <c r="I30" i="1"/>
  <c r="I63" i="1"/>
  <c r="I204" i="1"/>
  <c r="I203" i="1"/>
  <c r="I201" i="1"/>
  <c r="I200" i="1"/>
  <c r="I70" i="1"/>
  <c r="I122" i="1"/>
  <c r="I86" i="1"/>
  <c r="I85" i="1"/>
  <c r="I84" i="1"/>
  <c r="I83" i="1"/>
  <c r="I81" i="1"/>
  <c r="I80" i="1"/>
  <c r="I46" i="1"/>
  <c r="I45" i="1"/>
  <c r="I44" i="1"/>
  <c r="I82" i="1"/>
  <c r="I79" i="1"/>
  <c r="I78" i="1"/>
  <c r="I16" i="1"/>
  <c r="G193" i="1"/>
  <c r="E193" i="1"/>
  <c r="C193" i="1"/>
  <c r="B62" i="1"/>
  <c r="B319" i="1"/>
  <c r="B61" i="1"/>
  <c r="B193" i="1"/>
  <c r="E319" i="1"/>
  <c r="G319" i="1"/>
  <c r="F319" i="1"/>
  <c r="E61" i="1"/>
  <c r="G61" i="1"/>
  <c r="E62" i="1"/>
  <c r="G62" i="1"/>
  <c r="C319" i="1"/>
  <c r="C61" i="1"/>
  <c r="C62" i="1"/>
  <c r="G197" i="1"/>
  <c r="E197" i="1"/>
  <c r="C197" i="1"/>
  <c r="A61" i="1"/>
  <c r="A193" i="1"/>
  <c r="A62" i="1"/>
  <c r="G155" i="1"/>
  <c r="E155" i="1"/>
  <c r="C155" i="1"/>
  <c r="B155" i="1"/>
  <c r="B197" i="1"/>
  <c r="A155" i="1"/>
  <c r="A197" i="1"/>
  <c r="A319" i="1"/>
  <c r="G212" i="1"/>
  <c r="E212" i="1"/>
  <c r="F212" i="1"/>
  <c r="C212" i="1"/>
  <c r="G306" i="1"/>
  <c r="E306" i="1"/>
  <c r="F306" i="1"/>
  <c r="C306" i="1"/>
  <c r="G154" i="1"/>
  <c r="E154" i="1"/>
  <c r="C154" i="1"/>
  <c r="C304" i="1"/>
  <c r="G304" i="1"/>
  <c r="E304" i="1"/>
  <c r="E214" i="1"/>
  <c r="G214" i="1"/>
  <c r="E305" i="1"/>
  <c r="G305" i="1"/>
  <c r="F305" i="1"/>
  <c r="E196" i="1"/>
  <c r="G196" i="1"/>
  <c r="C214" i="1"/>
  <c r="C305" i="1"/>
  <c r="C196" i="1"/>
  <c r="A306" i="1"/>
  <c r="A212" i="1"/>
  <c r="B212" i="1"/>
  <c r="B214" i="1"/>
  <c r="B304" i="1"/>
  <c r="B305" i="1"/>
  <c r="B154" i="1"/>
  <c r="B196" i="1"/>
  <c r="B306" i="1"/>
  <c r="A305" i="1"/>
  <c r="A154" i="1"/>
  <c r="A196" i="1"/>
  <c r="A214" i="1"/>
  <c r="A304" i="1"/>
  <c r="G206" i="1"/>
  <c r="E206" i="1"/>
  <c r="F206" i="1"/>
  <c r="C206" i="1"/>
  <c r="G63" i="1"/>
  <c r="G64" i="1"/>
  <c r="G30" i="1"/>
  <c r="G213" i="1"/>
  <c r="E63" i="1"/>
  <c r="E64" i="1"/>
  <c r="E30" i="1"/>
  <c r="E213" i="1"/>
  <c r="C63" i="1"/>
  <c r="C205" i="1"/>
  <c r="C64" i="1"/>
  <c r="C30" i="1"/>
  <c r="C213" i="1"/>
  <c r="C202" i="1"/>
  <c r="B63" i="1"/>
  <c r="B205" i="1"/>
  <c r="B64" i="1"/>
  <c r="B30" i="1"/>
  <c r="B206" i="1"/>
  <c r="B213" i="1"/>
  <c r="B202" i="1"/>
  <c r="A205" i="1"/>
  <c r="A64" i="1"/>
  <c r="A30" i="1"/>
  <c r="A206" i="1"/>
  <c r="A213" i="1"/>
  <c r="A63" i="1"/>
  <c r="A202" i="1"/>
  <c r="C327" i="1"/>
  <c r="A327" i="1"/>
  <c r="C35" i="1"/>
  <c r="B35" i="1"/>
  <c r="A35" i="1"/>
  <c r="C229" i="1"/>
  <c r="B229" i="1"/>
  <c r="A229" i="1"/>
  <c r="C87" i="1"/>
  <c r="B87" i="1"/>
  <c r="A87" i="1"/>
  <c r="C52" i="1"/>
  <c r="B52" i="1"/>
  <c r="A52" i="1"/>
  <c r="C77" i="1"/>
  <c r="B77" i="1"/>
  <c r="A77" i="1"/>
  <c r="A40" i="1"/>
  <c r="B40" i="1"/>
  <c r="A56" i="1"/>
  <c r="B56" i="1"/>
  <c r="A67" i="1"/>
  <c r="B67" i="1"/>
  <c r="B93" i="1"/>
  <c r="B94" i="1"/>
  <c r="B101" i="1"/>
  <c r="B113" i="1"/>
  <c r="B132" i="1"/>
  <c r="B136" i="1"/>
  <c r="B137" i="1"/>
  <c r="B138" i="1"/>
  <c r="B174" i="1"/>
  <c r="B186" i="1"/>
  <c r="B230" i="1"/>
  <c r="C2" i="1"/>
  <c r="B2" i="1"/>
  <c r="A6" i="1"/>
  <c r="A33" i="1"/>
  <c r="A143" i="1"/>
  <c r="A2" i="1"/>
  <c r="A23" i="1"/>
  <c r="B23" i="1"/>
  <c r="E4" i="16"/>
  <c r="F4" i="16"/>
  <c r="G4" i="16"/>
  <c r="H4" i="16"/>
  <c r="I4" i="16"/>
  <c r="D4" i="16"/>
  <c r="L12" i="33"/>
  <c r="M11" i="33"/>
  <c r="L11" i="33"/>
  <c r="G12" i="33"/>
  <c r="G13" i="33"/>
  <c r="F12" i="33"/>
  <c r="F13" i="33"/>
  <c r="E12" i="33"/>
  <c r="E13" i="33"/>
  <c r="M9" i="33"/>
  <c r="L9" i="33"/>
  <c r="L8" i="33"/>
  <c r="F8" i="33"/>
  <c r="F9" i="33"/>
  <c r="M7" i="33"/>
  <c r="L7" i="33"/>
  <c r="G8" i="33"/>
  <c r="G9" i="33"/>
  <c r="E8" i="33"/>
  <c r="E9" i="33"/>
  <c r="M5" i="33"/>
  <c r="L5" i="33"/>
  <c r="M3" i="33"/>
  <c r="G4" i="33"/>
  <c r="G5" i="33"/>
  <c r="L3" i="33"/>
  <c r="E4" i="33"/>
  <c r="E5" i="33"/>
  <c r="F62" i="1"/>
  <c r="F196" i="1"/>
  <c r="F30" i="1"/>
  <c r="L4" i="33"/>
  <c r="F4" i="33"/>
  <c r="F5" i="33"/>
  <c r="O44" i="31"/>
  <c r="S43" i="31"/>
  <c r="R43" i="31"/>
  <c r="Q43" i="31"/>
  <c r="P43" i="31"/>
  <c r="O43" i="31"/>
  <c r="T41" i="31"/>
  <c r="S41" i="31"/>
  <c r="R41" i="31"/>
  <c r="Q41" i="31"/>
  <c r="P41" i="31"/>
  <c r="O41" i="31"/>
  <c r="O40" i="31"/>
  <c r="T39" i="31"/>
  <c r="S39" i="31"/>
  <c r="R39" i="31"/>
  <c r="Q39" i="31"/>
  <c r="P39" i="31"/>
  <c r="O39" i="31"/>
  <c r="T37" i="31"/>
  <c r="S37" i="31"/>
  <c r="R37" i="31"/>
  <c r="Q37" i="31"/>
  <c r="P37" i="31"/>
  <c r="O37" i="31"/>
  <c r="O36" i="31"/>
  <c r="S35" i="31"/>
  <c r="R35" i="31"/>
  <c r="Q35" i="31"/>
  <c r="P35" i="31"/>
  <c r="O35" i="31"/>
  <c r="T33" i="31"/>
  <c r="S33" i="31"/>
  <c r="R33" i="31"/>
  <c r="Q33" i="31"/>
  <c r="P33" i="31"/>
  <c r="O33" i="31"/>
  <c r="O32" i="31"/>
  <c r="S31" i="31"/>
  <c r="R31" i="31"/>
  <c r="Q31" i="31"/>
  <c r="P31" i="31"/>
  <c r="O31" i="31"/>
  <c r="T29" i="31"/>
  <c r="S29" i="31"/>
  <c r="R29" i="31"/>
  <c r="Q29" i="31"/>
  <c r="P29" i="31"/>
  <c r="O29" i="31"/>
  <c r="O28" i="31"/>
  <c r="S27" i="31"/>
  <c r="R27" i="31"/>
  <c r="Q27" i="31"/>
  <c r="P27" i="31"/>
  <c r="O27" i="31"/>
  <c r="T25" i="31"/>
  <c r="S25" i="31"/>
  <c r="R25" i="31"/>
  <c r="Q25" i="31"/>
  <c r="P25" i="31"/>
  <c r="O25" i="31"/>
  <c r="O24" i="31"/>
  <c r="S23" i="31"/>
  <c r="R23" i="31"/>
  <c r="Q23" i="31"/>
  <c r="P23" i="31"/>
  <c r="O23" i="31"/>
  <c r="T21" i="31"/>
  <c r="S21" i="31"/>
  <c r="R21" i="31"/>
  <c r="Q21" i="31"/>
  <c r="P21" i="31"/>
  <c r="O21" i="31"/>
  <c r="O20" i="31"/>
  <c r="S19" i="31"/>
  <c r="R19" i="31"/>
  <c r="Q19" i="31"/>
  <c r="P19" i="31"/>
  <c r="O19" i="31"/>
  <c r="T17" i="31"/>
  <c r="S17" i="31"/>
  <c r="R17" i="31"/>
  <c r="Q17" i="31"/>
  <c r="P17" i="31"/>
  <c r="O17" i="31"/>
  <c r="O16" i="31"/>
  <c r="S15" i="31"/>
  <c r="R15" i="31"/>
  <c r="Q15" i="31"/>
  <c r="P15" i="31"/>
  <c r="O15" i="31"/>
  <c r="O8" i="31"/>
  <c r="S7" i="31"/>
  <c r="R7" i="31"/>
  <c r="Q7" i="31"/>
  <c r="P7" i="31"/>
  <c r="O7" i="31"/>
  <c r="G56" i="31"/>
  <c r="G57" i="31"/>
  <c r="F56" i="31"/>
  <c r="F57" i="31"/>
  <c r="I56" i="31"/>
  <c r="I57" i="31"/>
  <c r="H56" i="31"/>
  <c r="H57" i="31"/>
  <c r="E56" i="31"/>
  <c r="E57" i="31"/>
  <c r="D56" i="31"/>
  <c r="D57" i="31"/>
  <c r="I52" i="31"/>
  <c r="I53" i="31"/>
  <c r="H52" i="31"/>
  <c r="H53" i="31"/>
  <c r="E52" i="31"/>
  <c r="E53" i="31"/>
  <c r="D52" i="31"/>
  <c r="D53" i="31"/>
  <c r="G52" i="31"/>
  <c r="G53" i="31"/>
  <c r="F52" i="31"/>
  <c r="F53" i="31"/>
  <c r="J48" i="31"/>
  <c r="J49" i="31"/>
  <c r="I48" i="31"/>
  <c r="I49" i="31"/>
  <c r="H48" i="31"/>
  <c r="H49" i="31"/>
  <c r="F48" i="31"/>
  <c r="F49" i="31"/>
  <c r="E48" i="31"/>
  <c r="E49" i="31"/>
  <c r="D48" i="31"/>
  <c r="D49" i="31"/>
  <c r="G48" i="31"/>
  <c r="G49" i="31"/>
  <c r="H44" i="31"/>
  <c r="H45" i="31"/>
  <c r="G44" i="31"/>
  <c r="G45" i="31"/>
  <c r="D44" i="31"/>
  <c r="D45" i="31"/>
  <c r="I44" i="31"/>
  <c r="I45" i="31"/>
  <c r="F44" i="31"/>
  <c r="F45" i="31"/>
  <c r="E44" i="31"/>
  <c r="E45" i="31"/>
  <c r="I40" i="31"/>
  <c r="I41" i="31"/>
  <c r="F40" i="31"/>
  <c r="F41" i="31"/>
  <c r="E40" i="31"/>
  <c r="E41" i="31"/>
  <c r="H40" i="31"/>
  <c r="H41" i="31"/>
  <c r="G40" i="31"/>
  <c r="G41" i="31"/>
  <c r="D40" i="31"/>
  <c r="D41" i="31"/>
  <c r="H36" i="31"/>
  <c r="H37" i="31"/>
  <c r="G36" i="31"/>
  <c r="G37" i="31"/>
  <c r="D36" i="31"/>
  <c r="D37" i="31"/>
  <c r="I36" i="31"/>
  <c r="I37" i="31"/>
  <c r="F36" i="31"/>
  <c r="F37" i="31"/>
  <c r="E36" i="31"/>
  <c r="E37" i="31"/>
  <c r="I32" i="31"/>
  <c r="I33" i="31"/>
  <c r="F32" i="31"/>
  <c r="F33" i="31"/>
  <c r="E32" i="31"/>
  <c r="E33" i="31"/>
  <c r="H32" i="31"/>
  <c r="H33" i="31"/>
  <c r="G32" i="31"/>
  <c r="G33" i="31"/>
  <c r="D32" i="31"/>
  <c r="D33" i="31"/>
  <c r="H28" i="31"/>
  <c r="H29" i="31"/>
  <c r="G28" i="31"/>
  <c r="G29" i="31"/>
  <c r="D28" i="31"/>
  <c r="D29" i="31"/>
  <c r="I28" i="31"/>
  <c r="I29" i="31"/>
  <c r="F28" i="31"/>
  <c r="F29" i="31"/>
  <c r="E28" i="31"/>
  <c r="E29" i="31"/>
  <c r="I24" i="31"/>
  <c r="I25" i="31"/>
  <c r="F24" i="31"/>
  <c r="F25" i="31"/>
  <c r="E24" i="31"/>
  <c r="E25" i="31"/>
  <c r="H24" i="31"/>
  <c r="H25" i="31"/>
  <c r="G24" i="31"/>
  <c r="G25" i="31"/>
  <c r="D24" i="31"/>
  <c r="D25" i="31"/>
  <c r="H20" i="31"/>
  <c r="H21" i="31"/>
  <c r="G20" i="31"/>
  <c r="G21" i="31"/>
  <c r="D20" i="31"/>
  <c r="D21" i="31"/>
  <c r="I20" i="31"/>
  <c r="I21" i="31"/>
  <c r="F20" i="31"/>
  <c r="F21" i="31"/>
  <c r="E20" i="31"/>
  <c r="E21" i="31"/>
  <c r="E16" i="31"/>
  <c r="E17" i="31"/>
  <c r="H16" i="31"/>
  <c r="H17" i="31"/>
  <c r="I8" i="31"/>
  <c r="I9" i="31"/>
  <c r="F8" i="31"/>
  <c r="F9" i="31"/>
  <c r="E8" i="31"/>
  <c r="E9" i="31"/>
  <c r="I16" i="31"/>
  <c r="I17" i="31"/>
  <c r="H8" i="31"/>
  <c r="H9" i="31"/>
  <c r="G8" i="31"/>
  <c r="G9" i="31"/>
  <c r="F16" i="31"/>
  <c r="F17" i="31"/>
  <c r="D8" i="31"/>
  <c r="D9" i="31"/>
  <c r="D16" i="31"/>
  <c r="D17" i="31"/>
  <c r="G16" i="31"/>
  <c r="G17" i="31"/>
  <c r="G4" i="18"/>
  <c r="F252" i="1"/>
  <c r="F241" i="1"/>
  <c r="F249" i="1"/>
  <c r="F245" i="1"/>
  <c r="F240" i="1"/>
  <c r="F244" i="1"/>
  <c r="F248" i="1"/>
  <c r="F238" i="1"/>
  <c r="F194" i="1"/>
  <c r="H25" i="13"/>
  <c r="H24" i="13"/>
  <c r="H23" i="13"/>
  <c r="H21" i="13"/>
  <c r="H20" i="13"/>
  <c r="H19" i="13"/>
  <c r="I13" i="13"/>
  <c r="I12" i="13"/>
  <c r="I11" i="13"/>
  <c r="G303" i="1"/>
  <c r="G25" i="13"/>
  <c r="G24" i="13"/>
  <c r="G23" i="13"/>
  <c r="F16" i="13"/>
  <c r="F15" i="13"/>
  <c r="E13" i="13"/>
  <c r="E12" i="13"/>
  <c r="E11" i="13"/>
  <c r="G16" i="13"/>
  <c r="G15" i="13"/>
  <c r="Q13" i="13"/>
  <c r="G13" i="13"/>
  <c r="G12" i="13"/>
  <c r="G11" i="13"/>
  <c r="F13" i="13"/>
  <c r="F12" i="13"/>
  <c r="F11" i="13"/>
  <c r="I9" i="13"/>
  <c r="I8" i="13"/>
  <c r="I7" i="13"/>
  <c r="G28" i="1"/>
  <c r="H9" i="13"/>
  <c r="H8" i="13"/>
  <c r="H7" i="13"/>
  <c r="G9" i="13"/>
  <c r="F9" i="13"/>
  <c r="F8" i="13"/>
  <c r="F7" i="13"/>
  <c r="E9" i="13"/>
  <c r="E8" i="13"/>
  <c r="E7" i="13"/>
  <c r="D9" i="13"/>
  <c r="D8" i="13"/>
  <c r="D7" i="13"/>
  <c r="E28" i="1"/>
  <c r="F28" i="1"/>
  <c r="G8" i="13"/>
  <c r="G7" i="13"/>
  <c r="G5" i="13"/>
  <c r="G4" i="13"/>
  <c r="G3" i="13"/>
  <c r="F5" i="13"/>
  <c r="F4" i="13"/>
  <c r="F3" i="13"/>
  <c r="P3" i="13"/>
  <c r="O11" i="13"/>
  <c r="S9" i="13"/>
  <c r="P11" i="13"/>
  <c r="P15" i="13"/>
  <c r="Q23" i="13"/>
  <c r="R21" i="13"/>
  <c r="Q5" i="13"/>
  <c r="P7" i="13"/>
  <c r="Q9" i="13"/>
  <c r="P5" i="13"/>
  <c r="O7" i="13"/>
  <c r="O9" i="13"/>
  <c r="Q7" i="13"/>
  <c r="R7" i="13"/>
  <c r="N8" i="13"/>
  <c r="D13" i="13"/>
  <c r="D12" i="13"/>
  <c r="D11" i="13"/>
  <c r="D5" i="13"/>
  <c r="D4" i="13"/>
  <c r="D3" i="13"/>
  <c r="D16" i="13"/>
  <c r="D15" i="13"/>
  <c r="H13" i="13"/>
  <c r="H12" i="13"/>
  <c r="H11" i="13"/>
  <c r="H5" i="13"/>
  <c r="H4" i="13"/>
  <c r="H3" i="13"/>
  <c r="H16" i="13"/>
  <c r="H15" i="13"/>
  <c r="I21" i="13"/>
  <c r="I20" i="13"/>
  <c r="I19" i="13"/>
  <c r="I25" i="13"/>
  <c r="I24" i="13"/>
  <c r="I23" i="13"/>
  <c r="E16" i="13"/>
  <c r="E15" i="13"/>
  <c r="I16" i="13"/>
  <c r="I15" i="13"/>
  <c r="F21" i="13"/>
  <c r="F20" i="13"/>
  <c r="F19" i="13"/>
  <c r="F25" i="13"/>
  <c r="F24" i="13"/>
  <c r="F23" i="13"/>
  <c r="E5" i="13"/>
  <c r="E4" i="13"/>
  <c r="E3" i="13"/>
  <c r="I5" i="13"/>
  <c r="I4" i="13"/>
  <c r="I3" i="13"/>
  <c r="G21" i="13"/>
  <c r="G20" i="13"/>
  <c r="G19" i="13"/>
  <c r="H3" i="8"/>
  <c r="G6" i="18"/>
  <c r="A43" i="1"/>
  <c r="C43" i="1"/>
  <c r="B43" i="1"/>
  <c r="C19" i="1"/>
  <c r="B19" i="1"/>
  <c r="A19" i="1"/>
  <c r="C227" i="1"/>
  <c r="B227" i="1"/>
  <c r="A227" i="1"/>
  <c r="C129" i="1"/>
  <c r="C121" i="1"/>
  <c r="C119" i="1"/>
  <c r="C29" i="1"/>
  <c r="C208" i="1"/>
  <c r="B208" i="1"/>
  <c r="A208" i="1"/>
  <c r="C331" i="1"/>
  <c r="B331" i="1"/>
  <c r="A331" i="1"/>
  <c r="B24" i="1"/>
  <c r="C287" i="1"/>
  <c r="B287" i="1"/>
  <c r="A287" i="1"/>
  <c r="C329" i="1"/>
  <c r="B329" i="1"/>
  <c r="A329" i="1"/>
  <c r="C136" i="1"/>
  <c r="A136" i="1"/>
  <c r="C299" i="1"/>
  <c r="B299" i="1"/>
  <c r="A299" i="1"/>
  <c r="C17" i="1"/>
  <c r="B17" i="1"/>
  <c r="A17" i="1"/>
  <c r="C276" i="1"/>
  <c r="C33" i="1"/>
  <c r="B33" i="1"/>
  <c r="G15" i="20"/>
  <c r="G3" i="20"/>
  <c r="G23" i="1"/>
  <c r="F5" i="20"/>
  <c r="G4" i="28"/>
  <c r="G3" i="28"/>
  <c r="G263" i="10"/>
  <c r="E261" i="10"/>
  <c r="G254" i="10"/>
  <c r="E252" i="10"/>
  <c r="E278" i="1"/>
  <c r="F238" i="10"/>
  <c r="F43" i="1"/>
  <c r="E240" i="10"/>
  <c r="F214" i="10"/>
  <c r="G204" i="10"/>
  <c r="F204" i="10"/>
  <c r="E202" i="10"/>
  <c r="E190" i="10"/>
  <c r="G167" i="10"/>
  <c r="F169" i="10"/>
  <c r="E167" i="10"/>
  <c r="E52" i="1"/>
  <c r="G146" i="10"/>
  <c r="F148" i="10"/>
  <c r="E146" i="10"/>
  <c r="G137" i="10"/>
  <c r="E137" i="10"/>
  <c r="G106" i="10"/>
  <c r="G59" i="1"/>
  <c r="F106" i="10"/>
  <c r="F49" i="1"/>
  <c r="G88" i="10"/>
  <c r="E86" i="10"/>
  <c r="E88" i="1"/>
  <c r="F77" i="10"/>
  <c r="G66" i="10"/>
  <c r="E64" i="10"/>
  <c r="E11" i="1"/>
  <c r="F59" i="10"/>
  <c r="E57" i="10"/>
  <c r="E271" i="1"/>
  <c r="G50" i="10"/>
  <c r="E48" i="10"/>
  <c r="F41" i="10"/>
  <c r="E39" i="10"/>
  <c r="E313" i="1"/>
  <c r="G33" i="10"/>
  <c r="F33" i="10"/>
  <c r="E33" i="10"/>
  <c r="G29" i="10"/>
  <c r="F29" i="10"/>
  <c r="E29" i="10"/>
  <c r="G23" i="10"/>
  <c r="F25" i="10"/>
  <c r="G19" i="10"/>
  <c r="G15" i="10"/>
  <c r="F17" i="10"/>
  <c r="E15" i="10"/>
  <c r="F11" i="10"/>
  <c r="G11" i="10"/>
  <c r="G224" i="1"/>
  <c r="G7" i="10"/>
  <c r="F9" i="10"/>
  <c r="E9" i="10"/>
  <c r="G3" i="10"/>
  <c r="G312" i="1"/>
  <c r="F5" i="10"/>
  <c r="E3" i="10"/>
  <c r="E312" i="1"/>
  <c r="E308" i="1"/>
  <c r="G3" i="18"/>
  <c r="G117" i="1"/>
  <c r="J4" i="17"/>
  <c r="G4" i="17"/>
  <c r="F4" i="17"/>
  <c r="E133" i="1"/>
  <c r="E236" i="1"/>
  <c r="C46" i="1"/>
  <c r="C81" i="1"/>
  <c r="G5" i="29"/>
  <c r="E5" i="29"/>
  <c r="G3" i="29"/>
  <c r="G131" i="1"/>
  <c r="E3" i="29"/>
  <c r="E131" i="1"/>
  <c r="F5" i="29"/>
  <c r="E7" i="25"/>
  <c r="F269" i="1"/>
  <c r="G204" i="1"/>
  <c r="G268" i="1"/>
  <c r="E270" i="1"/>
  <c r="G203" i="1"/>
  <c r="E204" i="1"/>
  <c r="F204" i="1"/>
  <c r="E203" i="1"/>
  <c r="G201" i="1"/>
  <c r="E201" i="1"/>
  <c r="G200" i="1"/>
  <c r="E200" i="1"/>
  <c r="C102" i="1"/>
  <c r="B102" i="1"/>
  <c r="A102" i="1"/>
  <c r="C101" i="1"/>
  <c r="A101" i="1"/>
  <c r="C145" i="1"/>
  <c r="B145" i="1"/>
  <c r="A145" i="1"/>
  <c r="C18" i="1"/>
  <c r="B18" i="1"/>
  <c r="A18" i="1"/>
  <c r="C144" i="1"/>
  <c r="A144" i="1"/>
  <c r="B158" i="1"/>
  <c r="B325" i="1"/>
  <c r="B281" i="1"/>
  <c r="A281" i="1"/>
  <c r="A38" i="1"/>
  <c r="C336" i="1"/>
  <c r="C267" i="1"/>
  <c r="B267" i="1"/>
  <c r="A267" i="1"/>
  <c r="C91" i="1"/>
  <c r="B91" i="1"/>
  <c r="A91" i="1"/>
  <c r="C222" i="1"/>
  <c r="B222" i="1"/>
  <c r="A222" i="1"/>
  <c r="A131" i="1"/>
  <c r="C131" i="1"/>
  <c r="H39" i="8"/>
  <c r="G120" i="1"/>
  <c r="H34" i="8"/>
  <c r="I88" i="9"/>
  <c r="H29" i="8"/>
  <c r="G130" i="1"/>
  <c r="H24" i="8"/>
  <c r="G128" i="1"/>
  <c r="H19" i="8"/>
  <c r="G126" i="1"/>
  <c r="H14" i="8"/>
  <c r="I28" i="9"/>
  <c r="H9" i="8"/>
  <c r="H10" i="8"/>
  <c r="H11" i="8"/>
  <c r="F3" i="8"/>
  <c r="F4" i="8"/>
  <c r="G3" i="8"/>
  <c r="G4" i="8"/>
  <c r="H4" i="8"/>
  <c r="H6" i="8"/>
  <c r="E3" i="8"/>
  <c r="E4" i="8"/>
  <c r="D3" i="8"/>
  <c r="D4" i="8"/>
  <c r="C105" i="1"/>
  <c r="B105" i="1"/>
  <c r="A105" i="1"/>
  <c r="E31" i="10"/>
  <c r="E208" i="1"/>
  <c r="E285" i="10"/>
  <c r="E284" i="10"/>
  <c r="E281" i="10"/>
  <c r="E282" i="10"/>
  <c r="E277" i="10"/>
  <c r="E276" i="10"/>
  <c r="G285" i="10"/>
  <c r="G284" i="10"/>
  <c r="G281" i="10"/>
  <c r="G280" i="10"/>
  <c r="G277" i="10"/>
  <c r="G276" i="10"/>
  <c r="G273" i="10"/>
  <c r="G274" i="10"/>
  <c r="E273" i="10"/>
  <c r="C207" i="1"/>
  <c r="C92" i="1"/>
  <c r="B92" i="1"/>
  <c r="A92" i="1"/>
  <c r="C151" i="1"/>
  <c r="B151" i="1"/>
  <c r="A151" i="1"/>
  <c r="C80" i="1"/>
  <c r="C85" i="1"/>
  <c r="C86" i="1"/>
  <c r="C122" i="1"/>
  <c r="C82" i="1"/>
  <c r="C44" i="1"/>
  <c r="C70" i="1"/>
  <c r="C83" i="1"/>
  <c r="C45" i="1"/>
  <c r="C16" i="1"/>
  <c r="G3" i="7"/>
  <c r="F3" i="7"/>
  <c r="F78" i="1"/>
  <c r="E3" i="7"/>
  <c r="C84" i="1"/>
  <c r="C78" i="1"/>
  <c r="B78" i="1"/>
  <c r="A79" i="1"/>
  <c r="A78" i="1"/>
  <c r="C231" i="1"/>
  <c r="B231" i="1"/>
  <c r="A231" i="1"/>
  <c r="B253" i="1"/>
  <c r="A253" i="1"/>
  <c r="F116" i="1"/>
  <c r="E116" i="1"/>
  <c r="C116" i="1"/>
  <c r="B116" i="1"/>
  <c r="A116" i="1"/>
  <c r="G86" i="10"/>
  <c r="G316" i="1"/>
  <c r="C199" i="1"/>
  <c r="B199" i="1"/>
  <c r="A199" i="1"/>
  <c r="C314" i="1"/>
  <c r="G188" i="10"/>
  <c r="C259" i="1"/>
  <c r="C316" i="1"/>
  <c r="C315" i="1"/>
  <c r="C313" i="1"/>
  <c r="B313" i="1"/>
  <c r="A313" i="1"/>
  <c r="C76" i="1"/>
  <c r="B76" i="1"/>
  <c r="A76" i="1"/>
  <c r="C282" i="1"/>
  <c r="B282" i="1"/>
  <c r="A282" i="1"/>
  <c r="C38" i="1"/>
  <c r="B38" i="1"/>
  <c r="B220" i="1"/>
  <c r="B221" i="1"/>
  <c r="B223" i="1"/>
  <c r="B224" i="1"/>
  <c r="B225" i="1"/>
  <c r="B226" i="1"/>
  <c r="B228" i="1"/>
  <c r="B232" i="1"/>
  <c r="B233" i="1"/>
  <c r="B234" i="1"/>
  <c r="B236" i="1"/>
  <c r="B242" i="1"/>
  <c r="B246" i="1"/>
  <c r="B173" i="1"/>
  <c r="B322" i="1"/>
  <c r="B321" i="1"/>
  <c r="B5" i="1"/>
  <c r="B66" i="1"/>
  <c r="B65" i="1"/>
  <c r="B59" i="1"/>
  <c r="B57" i="1"/>
  <c r="B55" i="1"/>
  <c r="B54" i="1"/>
  <c r="B53" i="1"/>
  <c r="B42" i="1"/>
  <c r="B50" i="1"/>
  <c r="B49" i="1"/>
  <c r="B47" i="1"/>
  <c r="B41" i="1"/>
  <c r="B39" i="1"/>
  <c r="B37" i="1"/>
  <c r="B36" i="1"/>
  <c r="B34" i="1"/>
  <c r="B32" i="1"/>
  <c r="B31" i="1"/>
  <c r="B29" i="1"/>
  <c r="B27" i="1"/>
  <c r="B26" i="1"/>
  <c r="B25" i="1"/>
  <c r="B22" i="1"/>
  <c r="B21" i="1"/>
  <c r="B20" i="1"/>
  <c r="B15" i="1"/>
  <c r="B14" i="1"/>
  <c r="B13" i="1"/>
  <c r="B11" i="1"/>
  <c r="B10" i="1"/>
  <c r="B9" i="1"/>
  <c r="B8" i="1"/>
  <c r="B7" i="1"/>
  <c r="B6" i="1"/>
  <c r="B3" i="1"/>
  <c r="B4" i="1"/>
  <c r="B339" i="1"/>
  <c r="B166" i="1"/>
  <c r="B165" i="1"/>
  <c r="B164" i="1"/>
  <c r="B163" i="1"/>
  <c r="B162" i="1"/>
  <c r="B161" i="1"/>
  <c r="B320" i="1"/>
  <c r="B160" i="1"/>
  <c r="B159" i="1"/>
  <c r="B157" i="1"/>
  <c r="B156" i="1"/>
  <c r="B152" i="1"/>
  <c r="B150" i="1"/>
  <c r="B149" i="1"/>
  <c r="B148" i="1"/>
  <c r="B147" i="1"/>
  <c r="B146" i="1"/>
  <c r="B143" i="1"/>
  <c r="B142" i="1"/>
  <c r="B141" i="1"/>
  <c r="B140" i="1"/>
  <c r="B139" i="1"/>
  <c r="B135" i="1"/>
  <c r="B133" i="1"/>
  <c r="B130" i="1"/>
  <c r="B129" i="1"/>
  <c r="B128" i="1"/>
  <c r="B127" i="1"/>
  <c r="B126" i="1"/>
  <c r="B125" i="1"/>
  <c r="B124" i="1"/>
  <c r="B123" i="1"/>
  <c r="B121" i="1"/>
  <c r="B120" i="1"/>
  <c r="B119" i="1"/>
  <c r="B118" i="1"/>
  <c r="B117" i="1"/>
  <c r="B115" i="1"/>
  <c r="B114" i="1"/>
  <c r="B112" i="1"/>
  <c r="B111" i="1"/>
  <c r="B110" i="1"/>
  <c r="B109" i="1"/>
  <c r="B108" i="1"/>
  <c r="B107" i="1"/>
  <c r="B106" i="1"/>
  <c r="B104" i="1"/>
  <c r="B103" i="1"/>
  <c r="B100" i="1"/>
  <c r="B99" i="1"/>
  <c r="B97" i="1"/>
  <c r="B96" i="1"/>
  <c r="B95" i="1"/>
  <c r="B167" i="1"/>
  <c r="B90" i="1"/>
  <c r="B88" i="1"/>
  <c r="B74" i="1"/>
  <c r="B73" i="1"/>
  <c r="B72" i="1"/>
  <c r="B71" i="1"/>
  <c r="B70" i="1"/>
  <c r="B69" i="1"/>
  <c r="B68" i="1"/>
  <c r="F75" i="10"/>
  <c r="F141" i="1"/>
  <c r="C263" i="1"/>
  <c r="B263" i="1"/>
  <c r="A263" i="1"/>
  <c r="C134" i="1"/>
  <c r="A134" i="1"/>
  <c r="B134" i="1"/>
  <c r="G252" i="10"/>
  <c r="C216" i="1"/>
  <c r="B216" i="1"/>
  <c r="A216" i="1"/>
  <c r="B184" i="1"/>
  <c r="B316" i="1"/>
  <c r="E9" i="15"/>
  <c r="E23" i="15"/>
  <c r="E242" i="1"/>
  <c r="C242" i="1"/>
  <c r="A242" i="1"/>
  <c r="C236" i="1"/>
  <c r="A236" i="1"/>
  <c r="C189" i="1"/>
  <c r="C184" i="1"/>
  <c r="C160" i="1"/>
  <c r="A184" i="1"/>
  <c r="A189" i="1"/>
  <c r="B189" i="1"/>
  <c r="A160" i="1"/>
  <c r="C180" i="1"/>
  <c r="C167" i="1"/>
  <c r="A180" i="1"/>
  <c r="B180" i="1"/>
  <c r="A167" i="1"/>
  <c r="C179" i="1"/>
  <c r="C159" i="1"/>
  <c r="A179" i="1"/>
  <c r="B179" i="1"/>
  <c r="A159" i="1"/>
  <c r="A188" i="1"/>
  <c r="B188" i="1"/>
  <c r="C188" i="1"/>
  <c r="C158" i="1"/>
  <c r="A158" i="1"/>
  <c r="C187" i="1"/>
  <c r="C183" i="1"/>
  <c r="C166" i="1"/>
  <c r="A183" i="1"/>
  <c r="B183" i="1"/>
  <c r="A187" i="1"/>
  <c r="B187" i="1"/>
  <c r="A166" i="1"/>
  <c r="A175" i="1"/>
  <c r="B175" i="1"/>
  <c r="C175" i="1"/>
  <c r="C171" i="1"/>
  <c r="B171" i="1"/>
  <c r="A171" i="1"/>
  <c r="A164" i="1"/>
  <c r="C164" i="1"/>
  <c r="A174" i="1"/>
  <c r="A186" i="1"/>
  <c r="C186" i="1"/>
  <c r="C174" i="1"/>
  <c r="C322" i="1"/>
  <c r="A322" i="1"/>
  <c r="C182" i="1"/>
  <c r="C165" i="1"/>
  <c r="C163" i="1"/>
  <c r="C156" i="1"/>
  <c r="A163" i="1"/>
  <c r="A165" i="1"/>
  <c r="A182" i="1"/>
  <c r="B182" i="1"/>
  <c r="A156" i="1"/>
  <c r="C191" i="1"/>
  <c r="C185" i="1"/>
  <c r="C177" i="1"/>
  <c r="C169" i="1"/>
  <c r="C321" i="1"/>
  <c r="A169" i="1"/>
  <c r="B169" i="1"/>
  <c r="A177" i="1"/>
  <c r="B177" i="1"/>
  <c r="A185" i="1"/>
  <c r="B185" i="1"/>
  <c r="A191" i="1"/>
  <c r="B191" i="1"/>
  <c r="A321" i="1"/>
  <c r="A181" i="1"/>
  <c r="B181" i="1"/>
  <c r="A173" i="1"/>
  <c r="C181" i="1"/>
  <c r="C173" i="1"/>
  <c r="B168" i="1"/>
  <c r="B190" i="1"/>
  <c r="A168" i="1"/>
  <c r="A190" i="1"/>
  <c r="C190" i="1"/>
  <c r="C168" i="1"/>
  <c r="B172" i="1"/>
  <c r="A172" i="1"/>
  <c r="C172" i="1"/>
  <c r="C176" i="1"/>
  <c r="C320" i="1"/>
  <c r="B176" i="1"/>
  <c r="A176" i="1"/>
  <c r="A320" i="1"/>
  <c r="A161" i="1"/>
  <c r="C161" i="1"/>
  <c r="C65" i="1"/>
  <c r="E3" i="27"/>
  <c r="A47" i="1"/>
  <c r="C47" i="1"/>
  <c r="C246" i="1"/>
  <c r="A246" i="1"/>
  <c r="A269" i="1"/>
  <c r="B269" i="1"/>
  <c r="A270" i="1"/>
  <c r="B270" i="1"/>
  <c r="C269" i="1"/>
  <c r="C270" i="1"/>
  <c r="B268" i="1"/>
  <c r="A268" i="1"/>
  <c r="C268" i="1"/>
  <c r="C338" i="1"/>
  <c r="C273" i="1"/>
  <c r="C266" i="1"/>
  <c r="C262" i="1"/>
  <c r="C225" i="1"/>
  <c r="C140" i="1"/>
  <c r="B262" i="1"/>
  <c r="B266" i="1"/>
  <c r="B273" i="1"/>
  <c r="B338" i="1"/>
  <c r="A225" i="1"/>
  <c r="A262" i="1"/>
  <c r="A266" i="1"/>
  <c r="A273" i="1"/>
  <c r="A338" i="1"/>
  <c r="A140" i="1"/>
  <c r="H19" i="22"/>
  <c r="H20" i="22"/>
  <c r="H21" i="22"/>
  <c r="H15" i="22"/>
  <c r="H16" i="22"/>
  <c r="H17" i="22"/>
  <c r="H10" i="22"/>
  <c r="G10" i="22"/>
  <c r="E121" i="1"/>
  <c r="A121" i="1"/>
  <c r="A119" i="1"/>
  <c r="H3" i="22"/>
  <c r="A29" i="1"/>
  <c r="A129" i="1"/>
  <c r="A22" i="1"/>
  <c r="A21" i="1"/>
  <c r="A24" i="1"/>
  <c r="A25" i="1"/>
  <c r="A26" i="1"/>
  <c r="A27" i="1"/>
  <c r="A20" i="1"/>
  <c r="A117" i="1"/>
  <c r="A68" i="1"/>
  <c r="A71" i="1"/>
  <c r="A72" i="1"/>
  <c r="A73" i="1"/>
  <c r="A74" i="1"/>
  <c r="A12" i="1"/>
  <c r="A311" i="1"/>
  <c r="F15" i="20"/>
  <c r="F22" i="1"/>
  <c r="E15" i="20"/>
  <c r="E73" i="1"/>
  <c r="E3" i="20"/>
  <c r="E23" i="1"/>
  <c r="C311" i="1"/>
  <c r="C12" i="1"/>
  <c r="C74" i="1"/>
  <c r="C73" i="1"/>
  <c r="C72" i="1"/>
  <c r="C71" i="1"/>
  <c r="C68" i="1"/>
  <c r="C22" i="1"/>
  <c r="C27" i="1"/>
  <c r="C26" i="1"/>
  <c r="C25" i="1"/>
  <c r="C24" i="1"/>
  <c r="C20" i="1"/>
  <c r="B311" i="1"/>
  <c r="F117" i="1"/>
  <c r="E117" i="1"/>
  <c r="C117" i="1"/>
  <c r="A133" i="1"/>
  <c r="C133" i="1"/>
  <c r="C285" i="1"/>
  <c r="C149" i="1"/>
  <c r="C58" i="1"/>
  <c r="C97" i="1"/>
  <c r="C96" i="1"/>
  <c r="C335" i="1"/>
  <c r="C330" i="1"/>
  <c r="C328" i="1"/>
  <c r="C150" i="1"/>
  <c r="C104" i="1"/>
  <c r="C53" i="1"/>
  <c r="C42" i="1"/>
  <c r="C334" i="1"/>
  <c r="C254" i="1"/>
  <c r="C233" i="1"/>
  <c r="C228" i="1"/>
  <c r="C135" i="1"/>
  <c r="C114" i="1"/>
  <c r="C112" i="1"/>
  <c r="C108" i="1"/>
  <c r="C99" i="1"/>
  <c r="C41" i="1"/>
  <c r="C36" i="1"/>
  <c r="C32" i="1"/>
  <c r="C13" i="1"/>
  <c r="C290" i="1"/>
  <c r="C289" i="1"/>
  <c r="C256" i="1"/>
  <c r="C226" i="1"/>
  <c r="C220" i="1"/>
  <c r="C339" i="1"/>
  <c r="C332" i="1"/>
  <c r="C325" i="1"/>
  <c r="C178" i="1"/>
  <c r="C7" i="1"/>
  <c r="C337" i="1"/>
  <c r="C326" i="1"/>
  <c r="C298" i="1"/>
  <c r="C297" i="1"/>
  <c r="C295" i="1"/>
  <c r="C292" i="1"/>
  <c r="C279" i="1"/>
  <c r="C261" i="1"/>
  <c r="C234" i="1"/>
  <c r="C215" i="1"/>
  <c r="C152" i="1"/>
  <c r="C157" i="1"/>
  <c r="C148" i="1"/>
  <c r="C103" i="1"/>
  <c r="C50" i="1"/>
  <c r="C9" i="1"/>
  <c r="C230" i="1"/>
  <c r="C138" i="1"/>
  <c r="C137" i="1"/>
  <c r="C132" i="1"/>
  <c r="C113" i="1"/>
  <c r="C94" i="1"/>
  <c r="C93" i="1"/>
  <c r="C67" i="1"/>
  <c r="C56" i="1"/>
  <c r="C40" i="1"/>
  <c r="C31" i="1"/>
  <c r="B259" i="1"/>
  <c r="B215" i="1"/>
  <c r="B261" i="1"/>
  <c r="B279" i="1"/>
  <c r="B292" i="1"/>
  <c r="B295" i="1"/>
  <c r="B297" i="1"/>
  <c r="B298" i="1"/>
  <c r="B326" i="1"/>
  <c r="B337" i="1"/>
  <c r="B178" i="1"/>
  <c r="B332" i="1"/>
  <c r="B256" i="1"/>
  <c r="B289" i="1"/>
  <c r="B290" i="1"/>
  <c r="B314" i="1"/>
  <c r="B207" i="1"/>
  <c r="B254" i="1"/>
  <c r="B334" i="1"/>
  <c r="B276" i="1"/>
  <c r="B328" i="1"/>
  <c r="B330" i="1"/>
  <c r="B335" i="1"/>
  <c r="B285" i="1"/>
  <c r="A93" i="1"/>
  <c r="A94" i="1"/>
  <c r="A113" i="1"/>
  <c r="A132" i="1"/>
  <c r="A137" i="1"/>
  <c r="A138" i="1"/>
  <c r="A230" i="1"/>
  <c r="A259" i="1"/>
  <c r="A9" i="1"/>
  <c r="A50" i="1"/>
  <c r="A103" i="1"/>
  <c r="A148" i="1"/>
  <c r="A157" i="1"/>
  <c r="A152" i="1"/>
  <c r="A215" i="1"/>
  <c r="A234" i="1"/>
  <c r="A261" i="1"/>
  <c r="A279" i="1"/>
  <c r="A292" i="1"/>
  <c r="A295" i="1"/>
  <c r="A297" i="1"/>
  <c r="A298" i="1"/>
  <c r="A326" i="1"/>
  <c r="A337" i="1"/>
  <c r="A7" i="1"/>
  <c r="A178" i="1"/>
  <c r="A325" i="1"/>
  <c r="A332" i="1"/>
  <c r="A339" i="1"/>
  <c r="A220" i="1"/>
  <c r="A226" i="1"/>
  <c r="A256" i="1"/>
  <c r="A289" i="1"/>
  <c r="A290" i="1"/>
  <c r="A314" i="1"/>
  <c r="A13" i="1"/>
  <c r="A32" i="1"/>
  <c r="A36" i="1"/>
  <c r="A41" i="1"/>
  <c r="A99" i="1"/>
  <c r="A108" i="1"/>
  <c r="A112" i="1"/>
  <c r="A114" i="1"/>
  <c r="A135" i="1"/>
  <c r="A207" i="1"/>
  <c r="A228" i="1"/>
  <c r="A233" i="1"/>
  <c r="A254" i="1"/>
  <c r="A334" i="1"/>
  <c r="A42" i="1"/>
  <c r="A53" i="1"/>
  <c r="A104" i="1"/>
  <c r="A150" i="1"/>
  <c r="A276" i="1"/>
  <c r="A328" i="1"/>
  <c r="A330" i="1"/>
  <c r="A335" i="1"/>
  <c r="A96" i="1"/>
  <c r="A97" i="1"/>
  <c r="A58" i="1"/>
  <c r="A149" i="1"/>
  <c r="A285" i="1"/>
  <c r="A31" i="1"/>
  <c r="A110" i="1"/>
  <c r="A111" i="1"/>
  <c r="A146" i="1"/>
  <c r="A170" i="1"/>
  <c r="A192" i="1"/>
  <c r="A317" i="1"/>
  <c r="A318" i="1"/>
  <c r="A333" i="1"/>
  <c r="B170" i="1"/>
  <c r="B192" i="1"/>
  <c r="B317" i="1"/>
  <c r="B318" i="1"/>
  <c r="B333" i="1"/>
  <c r="C333" i="1"/>
  <c r="C318" i="1"/>
  <c r="C317" i="1"/>
  <c r="C192" i="1"/>
  <c r="C170" i="1"/>
  <c r="C146" i="1"/>
  <c r="C111" i="1"/>
  <c r="C110" i="1"/>
  <c r="C323" i="1"/>
  <c r="C294" i="1"/>
  <c r="C293" i="1"/>
  <c r="C291" i="1"/>
  <c r="C288" i="1"/>
  <c r="C286" i="1"/>
  <c r="C280" i="1"/>
  <c r="C275" i="1"/>
  <c r="C260" i="1"/>
  <c r="C255" i="1"/>
  <c r="C221" i="1"/>
  <c r="C147" i="1"/>
  <c r="C139" i="1"/>
  <c r="C109" i="1"/>
  <c r="C69" i="1"/>
  <c r="C59" i="1"/>
  <c r="C55" i="1"/>
  <c r="C54" i="1"/>
  <c r="C49" i="1"/>
  <c r="C37" i="1"/>
  <c r="C15" i="1"/>
  <c r="C14" i="1"/>
  <c r="B336" i="1"/>
  <c r="A336" i="1"/>
  <c r="B323" i="1"/>
  <c r="A323" i="1"/>
  <c r="B294" i="1"/>
  <c r="A294" i="1"/>
  <c r="B293" i="1"/>
  <c r="A293" i="1"/>
  <c r="B291" i="1"/>
  <c r="A291" i="1"/>
  <c r="B288" i="1"/>
  <c r="A288" i="1"/>
  <c r="B286" i="1"/>
  <c r="A286" i="1"/>
  <c r="B280" i="1"/>
  <c r="A280" i="1"/>
  <c r="B275" i="1"/>
  <c r="A275" i="1"/>
  <c r="B260" i="1"/>
  <c r="A260" i="1"/>
  <c r="B255" i="1"/>
  <c r="A255" i="1"/>
  <c r="A221" i="1"/>
  <c r="A147" i="1"/>
  <c r="A139" i="1"/>
  <c r="A109" i="1"/>
  <c r="A69" i="1"/>
  <c r="A59" i="1"/>
  <c r="A55" i="1"/>
  <c r="A54" i="1"/>
  <c r="A49" i="1"/>
  <c r="A37" i="1"/>
  <c r="A15" i="1"/>
  <c r="A14" i="1"/>
  <c r="A5" i="1"/>
  <c r="C5" i="1"/>
  <c r="C123" i="1"/>
  <c r="C90" i="1"/>
  <c r="C88" i="1"/>
  <c r="C8" i="1"/>
  <c r="C257" i="1"/>
  <c r="C223" i="1"/>
  <c r="C142" i="1"/>
  <c r="C141" i="1"/>
  <c r="C115" i="1"/>
  <c r="C57" i="1"/>
  <c r="C34" i="1"/>
  <c r="C258" i="1"/>
  <c r="C107" i="1"/>
  <c r="C106" i="1"/>
  <c r="C100" i="1"/>
  <c r="C66" i="1"/>
  <c r="C39" i="1"/>
  <c r="C11" i="1"/>
  <c r="C10" i="1"/>
  <c r="B257" i="1"/>
  <c r="B258" i="1"/>
  <c r="B284" i="1"/>
  <c r="B271" i="1"/>
  <c r="B264" i="1"/>
  <c r="A123" i="1"/>
  <c r="A90" i="1"/>
  <c r="A88" i="1"/>
  <c r="A8" i="1"/>
  <c r="A316" i="1"/>
  <c r="A257" i="1"/>
  <c r="A223" i="1"/>
  <c r="A142" i="1"/>
  <c r="A141" i="1"/>
  <c r="A115" i="1"/>
  <c r="A57" i="1"/>
  <c r="A34" i="1"/>
  <c r="A258" i="1"/>
  <c r="A107" i="1"/>
  <c r="A106" i="1"/>
  <c r="A100" i="1"/>
  <c r="A66" i="1"/>
  <c r="A39" i="1"/>
  <c r="A11" i="1"/>
  <c r="A10" i="1"/>
  <c r="A284" i="1"/>
  <c r="A271" i="1"/>
  <c r="A264" i="1"/>
  <c r="A162" i="1"/>
  <c r="C284" i="1"/>
  <c r="C271" i="1"/>
  <c r="C264" i="1"/>
  <c r="C162" i="1"/>
  <c r="B315" i="1"/>
  <c r="B300" i="1"/>
  <c r="B198" i="1"/>
  <c r="A315" i="1"/>
  <c r="A300" i="1"/>
  <c r="A232" i="1"/>
  <c r="A198" i="1"/>
  <c r="C300" i="1"/>
  <c r="C232" i="1"/>
  <c r="C198" i="1"/>
  <c r="C143" i="1"/>
  <c r="C6" i="1"/>
  <c r="C283" i="1"/>
  <c r="C265" i="1"/>
  <c r="B283" i="1"/>
  <c r="B265" i="1"/>
  <c r="A283" i="1"/>
  <c r="A265" i="1"/>
  <c r="B310" i="1"/>
  <c r="B296" i="1"/>
  <c r="B274" i="1"/>
  <c r="A310" i="1"/>
  <c r="A296" i="1"/>
  <c r="A274" i="1"/>
  <c r="A65" i="1"/>
  <c r="A4" i="1"/>
  <c r="A95" i="1"/>
  <c r="A3" i="1"/>
  <c r="C310" i="1"/>
  <c r="C296" i="1"/>
  <c r="C274" i="1"/>
  <c r="C95" i="1"/>
  <c r="C4" i="1"/>
  <c r="C3" i="1"/>
  <c r="B218" i="1"/>
  <c r="B272" i="1"/>
  <c r="B309" i="1"/>
  <c r="B219" i="1"/>
  <c r="B308" i="1"/>
  <c r="A218" i="1"/>
  <c r="A272" i="1"/>
  <c r="A309" i="1"/>
  <c r="A224" i="1"/>
  <c r="A219" i="1"/>
  <c r="A308" i="1"/>
  <c r="C218" i="1"/>
  <c r="C272" i="1"/>
  <c r="C309" i="1"/>
  <c r="C224" i="1"/>
  <c r="C219" i="1"/>
  <c r="C308" i="1"/>
  <c r="A120" i="1"/>
  <c r="A118" i="1"/>
  <c r="A130" i="1"/>
  <c r="C120" i="1"/>
  <c r="C118" i="1"/>
  <c r="C130" i="1"/>
  <c r="G124" i="1"/>
  <c r="A128" i="1"/>
  <c r="A126" i="1"/>
  <c r="A125" i="1"/>
  <c r="A127" i="1"/>
  <c r="A124" i="1"/>
  <c r="C128" i="1"/>
  <c r="C126" i="1"/>
  <c r="C125" i="1"/>
  <c r="C127" i="1"/>
  <c r="C124" i="1"/>
  <c r="E20" i="7"/>
  <c r="E70" i="1"/>
  <c r="G20" i="7"/>
  <c r="A70" i="1"/>
  <c r="E8" i="7"/>
  <c r="E79" i="1"/>
  <c r="E44" i="1"/>
  <c r="G8" i="7"/>
  <c r="G79" i="1"/>
  <c r="G84" i="1"/>
  <c r="A122" i="1"/>
  <c r="A86" i="1"/>
  <c r="A85" i="1"/>
  <c r="A84" i="1"/>
  <c r="A83" i="1"/>
  <c r="A81" i="1"/>
  <c r="A80" i="1"/>
  <c r="A46" i="1"/>
  <c r="A45" i="1"/>
  <c r="A44" i="1"/>
  <c r="A82" i="1"/>
  <c r="A16" i="1"/>
  <c r="B211" i="1"/>
  <c r="C211" i="1"/>
  <c r="C75" i="1"/>
  <c r="C60" i="1"/>
  <c r="C204" i="1"/>
  <c r="C203" i="1"/>
  <c r="A204" i="1"/>
  <c r="A203" i="1"/>
  <c r="A201" i="1"/>
  <c r="A200" i="1"/>
  <c r="B204" i="1"/>
  <c r="B203" i="1"/>
  <c r="B201" i="1"/>
  <c r="B200" i="1"/>
  <c r="C201" i="1"/>
  <c r="C200" i="1"/>
  <c r="E4" i="17"/>
  <c r="E14" i="17"/>
  <c r="D5" i="16"/>
  <c r="G302" i="10"/>
  <c r="F302" i="10"/>
  <c r="E302" i="10"/>
  <c r="G300" i="10"/>
  <c r="F300" i="10"/>
  <c r="E300" i="10"/>
  <c r="G294" i="10"/>
  <c r="F294" i="10"/>
  <c r="E294" i="10"/>
  <c r="G292" i="10"/>
  <c r="E292" i="10"/>
  <c r="G290" i="10"/>
  <c r="F290" i="10"/>
  <c r="E290" i="10"/>
  <c r="G288" i="10"/>
  <c r="E288" i="10"/>
  <c r="E263" i="10"/>
  <c r="G190" i="10"/>
  <c r="E148" i="10"/>
  <c r="E66" i="10"/>
  <c r="G298" i="10"/>
  <c r="F298" i="10"/>
  <c r="E298" i="10"/>
  <c r="G296" i="10"/>
  <c r="E296" i="10"/>
  <c r="G22" i="7"/>
  <c r="F22" i="7"/>
  <c r="E22" i="7"/>
  <c r="F20" i="7"/>
  <c r="G10" i="7"/>
  <c r="E10" i="7"/>
  <c r="G5" i="7"/>
  <c r="F5" i="7"/>
  <c r="E5" i="7"/>
  <c r="I13" i="9"/>
  <c r="I14" i="9"/>
  <c r="W3" i="8"/>
  <c r="V3" i="8"/>
  <c r="U3" i="8"/>
  <c r="T3" i="8"/>
  <c r="S3" i="8"/>
  <c r="G5" i="28"/>
  <c r="F17" i="20"/>
  <c r="E17" i="20"/>
  <c r="E5" i="20"/>
  <c r="E4" i="4"/>
  <c r="E7" i="4"/>
  <c r="E10" i="4"/>
  <c r="L3" i="18"/>
  <c r="E5" i="27"/>
  <c r="L3" i="28"/>
  <c r="F10" i="7"/>
  <c r="F8" i="7"/>
  <c r="F23" i="10"/>
  <c r="F288" i="10"/>
  <c r="G5" i="18"/>
  <c r="F292" i="10"/>
  <c r="F296" i="10"/>
  <c r="G269" i="1"/>
  <c r="G270" i="1"/>
  <c r="K7" i="25"/>
  <c r="F270" i="1"/>
  <c r="L7" i="25"/>
  <c r="E269" i="1"/>
  <c r="F268" i="1"/>
  <c r="L3" i="25"/>
  <c r="K3" i="25"/>
  <c r="E268" i="1"/>
  <c r="Q3" i="16"/>
  <c r="I4" i="17"/>
  <c r="I14" i="17"/>
  <c r="N3" i="16"/>
  <c r="I5" i="16"/>
  <c r="O3" i="16"/>
  <c r="H4" i="17"/>
  <c r="H14" i="17"/>
  <c r="P3" i="16"/>
  <c r="H5" i="16"/>
  <c r="F5" i="16"/>
  <c r="N4" i="16"/>
  <c r="R3" i="16"/>
  <c r="G5" i="16"/>
  <c r="E5" i="16"/>
  <c r="F3" i="29"/>
  <c r="F131" i="1"/>
  <c r="F7" i="10"/>
  <c r="F167" i="10"/>
  <c r="F297" i="1"/>
  <c r="G27" i="10"/>
  <c r="G48" i="10"/>
  <c r="G2" i="1"/>
  <c r="E13" i="17"/>
  <c r="G175" i="1"/>
  <c r="G217" i="1"/>
  <c r="G87" i="1"/>
  <c r="G298" i="1"/>
  <c r="G52" i="1"/>
  <c r="G33" i="1"/>
  <c r="G327" i="1"/>
  <c r="G137" i="1"/>
  <c r="G77" i="1"/>
  <c r="E232" i="1"/>
  <c r="E2" i="1"/>
  <c r="E166" i="1"/>
  <c r="E229" i="1"/>
  <c r="F52" i="1"/>
  <c r="E93" i="1"/>
  <c r="E77" i="1"/>
  <c r="J20" i="17"/>
  <c r="J14" i="17"/>
  <c r="F20" i="17"/>
  <c r="F14" i="17"/>
  <c r="G20" i="17"/>
  <c r="G14" i="17"/>
  <c r="E9" i="17"/>
  <c r="E20" i="17"/>
  <c r="H13" i="17"/>
  <c r="H20" i="17"/>
  <c r="I7" i="17"/>
  <c r="E12" i="17"/>
  <c r="M296" i="10"/>
  <c r="E19" i="15"/>
  <c r="E20" i="15"/>
  <c r="K7" i="14"/>
  <c r="E81" i="1"/>
  <c r="M300" i="10"/>
  <c r="E83" i="1"/>
  <c r="E72" i="1"/>
  <c r="F12" i="1"/>
  <c r="G17" i="1"/>
  <c r="G19" i="1"/>
  <c r="E27" i="1"/>
  <c r="E19" i="1"/>
  <c r="M3" i="18"/>
  <c r="L4" i="18"/>
  <c r="H25" i="8"/>
  <c r="L5" i="25"/>
  <c r="N29" i="10"/>
  <c r="G286" i="1"/>
  <c r="E78" i="1"/>
  <c r="F55" i="1"/>
  <c r="F288" i="1"/>
  <c r="L289" i="10"/>
  <c r="E106" i="1"/>
  <c r="F103" i="1"/>
  <c r="E286" i="10"/>
  <c r="G332" i="1"/>
  <c r="G139" i="1"/>
  <c r="G178" i="1"/>
  <c r="L297" i="10"/>
  <c r="G279" i="1"/>
  <c r="G109" i="1"/>
  <c r="G102" i="1"/>
  <c r="G294" i="1"/>
  <c r="G259" i="1"/>
  <c r="E66" i="1"/>
  <c r="G282" i="1"/>
  <c r="E280" i="10"/>
  <c r="L3" i="29"/>
  <c r="L4" i="29"/>
  <c r="M3" i="29"/>
  <c r="K5" i="25"/>
  <c r="I37" i="24"/>
  <c r="H26" i="24"/>
  <c r="H28" i="24"/>
  <c r="H23" i="24"/>
  <c r="H22" i="24"/>
  <c r="H25" i="24"/>
  <c r="E27" i="24"/>
  <c r="E26" i="24"/>
  <c r="E21" i="24"/>
  <c r="E28" i="24"/>
  <c r="E24" i="24"/>
  <c r="E23" i="24"/>
  <c r="E22" i="24"/>
  <c r="E25" i="24"/>
  <c r="G26" i="24"/>
  <c r="G24" i="24"/>
  <c r="G22" i="24"/>
  <c r="G23" i="24"/>
  <c r="G27" i="24"/>
  <c r="G28" i="24"/>
  <c r="G21" i="24"/>
  <c r="G25" i="24"/>
  <c r="F28" i="24"/>
  <c r="F26" i="24"/>
  <c r="F22" i="24"/>
  <c r="F21" i="24"/>
  <c r="F23" i="24"/>
  <c r="F24" i="24"/>
  <c r="F27" i="24"/>
  <c r="F25" i="24"/>
  <c r="H27" i="24"/>
  <c r="H21" i="24"/>
  <c r="H24" i="24"/>
  <c r="F71" i="1"/>
  <c r="F74" i="1"/>
  <c r="E20" i="1"/>
  <c r="E17" i="1"/>
  <c r="E24" i="1"/>
  <c r="E18" i="1"/>
  <c r="I17" i="17"/>
  <c r="G12" i="17"/>
  <c r="G25" i="17"/>
  <c r="H8" i="17"/>
  <c r="H25" i="17"/>
  <c r="H17" i="17"/>
  <c r="F9" i="17"/>
  <c r="F7" i="17"/>
  <c r="F17" i="17"/>
  <c r="F12" i="17"/>
  <c r="F13" i="17"/>
  <c r="F25" i="17"/>
  <c r="F8" i="17"/>
  <c r="J17" i="17"/>
  <c r="J9" i="17"/>
  <c r="J12" i="17"/>
  <c r="J8" i="17"/>
  <c r="J25" i="17"/>
  <c r="J7" i="17"/>
  <c r="E8" i="17"/>
  <c r="H7" i="17"/>
  <c r="I9" i="17"/>
  <c r="H12" i="17"/>
  <c r="E25" i="17"/>
  <c r="I25" i="17"/>
  <c r="G13" i="17"/>
  <c r="G7" i="17"/>
  <c r="G133" i="1"/>
  <c r="E7" i="17"/>
  <c r="E17" i="17"/>
  <c r="I8" i="17"/>
  <c r="I12" i="17"/>
  <c r="H9" i="17"/>
  <c r="G17" i="17"/>
  <c r="E21" i="15"/>
  <c r="E22" i="15"/>
  <c r="G242" i="1"/>
  <c r="K5" i="14"/>
  <c r="K8" i="14"/>
  <c r="E25" i="15"/>
  <c r="E6" i="15"/>
  <c r="G236" i="1"/>
  <c r="K4" i="14"/>
  <c r="K3" i="14"/>
  <c r="L5" i="14"/>
  <c r="E11" i="15"/>
  <c r="E5" i="15"/>
  <c r="E7" i="15"/>
  <c r="E8" i="15"/>
  <c r="G152" i="1"/>
  <c r="E258" i="1"/>
  <c r="E65" i="1"/>
  <c r="F19" i="8"/>
  <c r="F20" i="8"/>
  <c r="E124" i="1"/>
  <c r="E2" i="9"/>
  <c r="G39" i="8"/>
  <c r="E120" i="1"/>
  <c r="Q21" i="8"/>
  <c r="E8" i="9"/>
  <c r="G85" i="1"/>
  <c r="G122" i="1"/>
  <c r="L9" i="7"/>
  <c r="L10" i="7"/>
  <c r="E122" i="1"/>
  <c r="E46" i="1"/>
  <c r="F79" i="1"/>
  <c r="L21" i="7"/>
  <c r="M20" i="7"/>
  <c r="G70" i="1"/>
  <c r="L20" i="7"/>
  <c r="M10" i="7"/>
  <c r="M8" i="7"/>
  <c r="G46" i="1"/>
  <c r="F46" i="1"/>
  <c r="G80" i="1"/>
  <c r="G83" i="1"/>
  <c r="E45" i="1"/>
  <c r="L8" i="7"/>
  <c r="N10" i="7"/>
  <c r="G45" i="1"/>
  <c r="F45" i="1"/>
  <c r="G81" i="1"/>
  <c r="G86" i="1"/>
  <c r="E85" i="1"/>
  <c r="F85" i="1"/>
  <c r="G44" i="1"/>
  <c r="E86" i="1"/>
  <c r="E80" i="1"/>
  <c r="F80" i="1"/>
  <c r="E84" i="1"/>
  <c r="F84" i="1"/>
  <c r="M5" i="7"/>
  <c r="E16" i="1"/>
  <c r="L5" i="7"/>
  <c r="G82" i="1"/>
  <c r="L3" i="7"/>
  <c r="G78" i="1"/>
  <c r="M3" i="7"/>
  <c r="G16" i="1"/>
  <c r="L4" i="7"/>
  <c r="N5" i="7"/>
  <c r="E82" i="1"/>
  <c r="E97" i="1"/>
  <c r="E167" i="1"/>
  <c r="G172" i="1"/>
  <c r="E8" i="1"/>
  <c r="F39" i="10"/>
  <c r="L39" i="10"/>
  <c r="G202" i="10"/>
  <c r="N294" i="10"/>
  <c r="E59" i="10"/>
  <c r="E254" i="10"/>
  <c r="F202" i="10"/>
  <c r="E284" i="1"/>
  <c r="N21" i="10"/>
  <c r="G25" i="10"/>
  <c r="G96" i="1"/>
  <c r="M290" i="10"/>
  <c r="E123" i="1"/>
  <c r="E188" i="10"/>
  <c r="E27" i="10"/>
  <c r="L29" i="10"/>
  <c r="L294" i="10"/>
  <c r="M11" i="10"/>
  <c r="L296" i="10"/>
  <c r="F15" i="10"/>
  <c r="M13" i="10"/>
  <c r="F275" i="1"/>
  <c r="F323" i="1"/>
  <c r="E169" i="1"/>
  <c r="E185" i="1"/>
  <c r="E172" i="1"/>
  <c r="F172" i="1"/>
  <c r="G13" i="10"/>
  <c r="G135" i="10"/>
  <c r="G324" i="1"/>
  <c r="G317" i="1"/>
  <c r="F31" i="10"/>
  <c r="F286" i="1"/>
  <c r="E76" i="1"/>
  <c r="E177" i="1"/>
  <c r="E262" i="1"/>
  <c r="E50" i="10"/>
  <c r="E238" i="10"/>
  <c r="E35" i="1"/>
  <c r="G261" i="10"/>
  <c r="L262" i="10"/>
  <c r="G64" i="10"/>
  <c r="G107" i="1"/>
  <c r="G21" i="10"/>
  <c r="F37" i="1"/>
  <c r="E266" i="1"/>
  <c r="E321" i="1"/>
  <c r="E199" i="1"/>
  <c r="L292" i="10"/>
  <c r="F279" i="1"/>
  <c r="G232" i="1"/>
  <c r="L50" i="10"/>
  <c r="F207" i="1"/>
  <c r="F234" i="1"/>
  <c r="L51" i="10"/>
  <c r="E180" i="1"/>
  <c r="F146" i="10"/>
  <c r="F77" i="1"/>
  <c r="F57" i="10"/>
  <c r="L57" i="10"/>
  <c r="F109" i="1"/>
  <c r="F14" i="1"/>
  <c r="F5" i="1"/>
  <c r="E225" i="1"/>
  <c r="E316" i="1"/>
  <c r="E338" i="1"/>
  <c r="E191" i="1"/>
  <c r="E143" i="1"/>
  <c r="L288" i="10"/>
  <c r="E88" i="10"/>
  <c r="E204" i="10"/>
  <c r="M292" i="10"/>
  <c r="F3" i="10"/>
  <c r="M3" i="10"/>
  <c r="F240" i="10"/>
  <c r="M298" i="10"/>
  <c r="F337" i="1"/>
  <c r="M7" i="10"/>
  <c r="G90" i="1"/>
  <c r="G339" i="1"/>
  <c r="E107" i="1"/>
  <c r="F108" i="10"/>
  <c r="F165" i="1"/>
  <c r="F221" i="1"/>
  <c r="F291" i="1"/>
  <c r="E273" i="1"/>
  <c r="E140" i="1"/>
  <c r="E90" i="1"/>
  <c r="G5" i="10"/>
  <c r="E169" i="10"/>
  <c r="E135" i="10"/>
  <c r="E324" i="1"/>
  <c r="E207" i="1"/>
  <c r="E148" i="1"/>
  <c r="E164" i="1"/>
  <c r="F42" i="1"/>
  <c r="F159" i="1"/>
  <c r="F150" i="1"/>
  <c r="F335" i="1"/>
  <c r="F53" i="1"/>
  <c r="F328" i="1"/>
  <c r="F330" i="1"/>
  <c r="F179" i="1"/>
  <c r="N286" i="10"/>
  <c r="E160" i="1"/>
  <c r="E184" i="1"/>
  <c r="G288" i="1"/>
  <c r="G165" i="1"/>
  <c r="F164" i="1"/>
  <c r="F148" i="1"/>
  <c r="G273" i="1"/>
  <c r="G216" i="1"/>
  <c r="G286" i="10"/>
  <c r="G280" i="1"/>
  <c r="G260" i="1"/>
  <c r="G323" i="1"/>
  <c r="G49" i="1"/>
  <c r="G95" i="1"/>
  <c r="G143" i="1"/>
  <c r="G55" i="1"/>
  <c r="F295" i="1"/>
  <c r="G14" i="1"/>
  <c r="M167" i="10"/>
  <c r="G97" i="1"/>
  <c r="F298" i="1"/>
  <c r="F326" i="1"/>
  <c r="G108" i="10"/>
  <c r="E183" i="1"/>
  <c r="G297" i="1"/>
  <c r="L253" i="10"/>
  <c r="E315" i="1"/>
  <c r="F212" i="10"/>
  <c r="F98" i="1"/>
  <c r="E92" i="1"/>
  <c r="F173" i="1"/>
  <c r="F13" i="10"/>
  <c r="G272" i="10"/>
  <c r="N5" i="10"/>
  <c r="E41" i="10"/>
  <c r="G54" i="1"/>
  <c r="G147" i="1"/>
  <c r="F152" i="1"/>
  <c r="F50" i="1"/>
  <c r="M288" i="10"/>
  <c r="L302" i="10"/>
  <c r="L301" i="10"/>
  <c r="G17" i="10"/>
  <c r="G337" i="1"/>
  <c r="F34" i="1"/>
  <c r="G113" i="1"/>
  <c r="L300" i="10"/>
  <c r="G272" i="1"/>
  <c r="N88" i="10"/>
  <c r="G275" i="1"/>
  <c r="G69" i="1"/>
  <c r="G163" i="1"/>
  <c r="G3" i="1"/>
  <c r="F261" i="1"/>
  <c r="F292" i="1"/>
  <c r="F9" i="1"/>
  <c r="F157" i="1"/>
  <c r="G31" i="10"/>
  <c r="G161" i="1"/>
  <c r="E100" i="1"/>
  <c r="L168" i="10"/>
  <c r="G180" i="1"/>
  <c r="N148" i="10"/>
  <c r="E10" i="1"/>
  <c r="E39" i="1"/>
  <c r="F263" i="1"/>
  <c r="F115" i="1"/>
  <c r="G167" i="1"/>
  <c r="L293" i="10"/>
  <c r="F285" i="10"/>
  <c r="M23" i="10"/>
  <c r="G218" i="1"/>
  <c r="N25" i="10"/>
  <c r="N298" i="10"/>
  <c r="G309" i="1"/>
  <c r="N13" i="10"/>
  <c r="N17" i="10"/>
  <c r="L16" i="10"/>
  <c r="E215" i="1"/>
  <c r="G262" i="1"/>
  <c r="G88" i="1"/>
  <c r="G338" i="1"/>
  <c r="G177" i="1"/>
  <c r="G225" i="1"/>
  <c r="G199" i="1"/>
  <c r="G266" i="1"/>
  <c r="G185" i="1"/>
  <c r="L87" i="10"/>
  <c r="G191" i="1"/>
  <c r="E274" i="10"/>
  <c r="F273" i="10"/>
  <c r="F272" i="10"/>
  <c r="E272" i="10"/>
  <c r="E11" i="10"/>
  <c r="L12" i="10"/>
  <c r="E13" i="10"/>
  <c r="E23" i="10"/>
  <c r="L24" i="10"/>
  <c r="E25" i="10"/>
  <c r="E43" i="10"/>
  <c r="E45" i="10"/>
  <c r="F50" i="10"/>
  <c r="F48" i="10"/>
  <c r="G57" i="10"/>
  <c r="G59" i="10"/>
  <c r="E75" i="10"/>
  <c r="E257" i="1"/>
  <c r="E77" i="10"/>
  <c r="F86" i="10"/>
  <c r="F88" i="10"/>
  <c r="E138" i="1"/>
  <c r="E287" i="1"/>
  <c r="E136" i="1"/>
  <c r="E67" i="1"/>
  <c r="E231" i="1"/>
  <c r="E113" i="1"/>
  <c r="E186" i="1"/>
  <c r="E132" i="1"/>
  <c r="E31" i="1"/>
  <c r="E230" i="1"/>
  <c r="E56" i="1"/>
  <c r="E253" i="1"/>
  <c r="E94" i="1"/>
  <c r="E137" i="1"/>
  <c r="E322" i="1"/>
  <c r="E40" i="1"/>
  <c r="G101" i="1"/>
  <c r="G287" i="1"/>
  <c r="G136" i="1"/>
  <c r="G94" i="1"/>
  <c r="G322" i="1"/>
  <c r="G67" i="1"/>
  <c r="G93" i="1"/>
  <c r="G174" i="1"/>
  <c r="G31" i="1"/>
  <c r="G253" i="1"/>
  <c r="G138" i="1"/>
  <c r="G230" i="1"/>
  <c r="G56" i="1"/>
  <c r="G231" i="1"/>
  <c r="G40" i="1"/>
  <c r="G132" i="1"/>
  <c r="L147" i="10"/>
  <c r="G186" i="1"/>
  <c r="G157" i="1"/>
  <c r="G299" i="1"/>
  <c r="G164" i="1"/>
  <c r="G148" i="1"/>
  <c r="G234" i="1"/>
  <c r="G292" i="1"/>
  <c r="G50" i="1"/>
  <c r="G207" i="1"/>
  <c r="G103" i="1"/>
  <c r="E187" i="1"/>
  <c r="E226" i="1"/>
  <c r="E290" i="1"/>
  <c r="E256" i="1"/>
  <c r="E212" i="10"/>
  <c r="E98" i="1"/>
  <c r="E214" i="10"/>
  <c r="F252" i="10"/>
  <c r="F278" i="1"/>
  <c r="F327" i="1"/>
  <c r="F254" i="10"/>
  <c r="F261" i="10"/>
  <c r="F263" i="10"/>
  <c r="F3" i="26"/>
  <c r="G246" i="1"/>
  <c r="G156" i="1"/>
  <c r="M106" i="10"/>
  <c r="G37" i="1"/>
  <c r="G15" i="1"/>
  <c r="G182" i="1"/>
  <c r="G6" i="1"/>
  <c r="G291" i="1"/>
  <c r="G293" i="1"/>
  <c r="E220" i="1"/>
  <c r="L167" i="10"/>
  <c r="E168" i="1"/>
  <c r="G321" i="1"/>
  <c r="G140" i="1"/>
  <c r="E289" i="1"/>
  <c r="G215" i="1"/>
  <c r="G9" i="1"/>
  <c r="G295" i="1"/>
  <c r="G278" i="10"/>
  <c r="E298" i="1"/>
  <c r="E174" i="1"/>
  <c r="G9" i="10"/>
  <c r="G169" i="10"/>
  <c r="E7" i="10"/>
  <c r="L7" i="10"/>
  <c r="M294" i="10"/>
  <c r="E337" i="1"/>
  <c r="E299" i="1"/>
  <c r="L148" i="10"/>
  <c r="E9" i="1"/>
  <c r="E261" i="1"/>
  <c r="E234" i="1"/>
  <c r="E279" i="1"/>
  <c r="E152" i="1"/>
  <c r="E157" i="1"/>
  <c r="E297" i="1"/>
  <c r="E292" i="1"/>
  <c r="E295" i="1"/>
  <c r="E103" i="1"/>
  <c r="E50" i="1"/>
  <c r="E161" i="1"/>
  <c r="F161" i="1"/>
  <c r="E4" i="1"/>
  <c r="E296" i="1"/>
  <c r="L33" i="10"/>
  <c r="E310" i="1"/>
  <c r="E274" i="1"/>
  <c r="L4" i="10"/>
  <c r="G219" i="1"/>
  <c r="N290" i="10"/>
  <c r="E309" i="1"/>
  <c r="F19" i="10"/>
  <c r="F21" i="10"/>
  <c r="G45" i="10"/>
  <c r="G43" i="10"/>
  <c r="N45" i="10"/>
  <c r="E264" i="1"/>
  <c r="E190" i="1"/>
  <c r="F64" i="10"/>
  <c r="F66" i="1"/>
  <c r="F66" i="10"/>
  <c r="G75" i="10"/>
  <c r="G77" i="10"/>
  <c r="E106" i="10"/>
  <c r="E255" i="1"/>
  <c r="E108" i="10"/>
  <c r="F137" i="10"/>
  <c r="F135" i="10"/>
  <c r="F324" i="1"/>
  <c r="F188" i="10"/>
  <c r="F190" i="10"/>
  <c r="G212" i="10"/>
  <c r="G98" i="1"/>
  <c r="G214" i="10"/>
  <c r="G238" i="10"/>
  <c r="G240" i="10"/>
  <c r="E189" i="1"/>
  <c r="E58" i="1"/>
  <c r="E285" i="1"/>
  <c r="E144" i="1"/>
  <c r="L254" i="10"/>
  <c r="E149" i="1"/>
  <c r="G300" i="1"/>
  <c r="G198" i="1"/>
  <c r="G221" i="1"/>
  <c r="G255" i="1"/>
  <c r="E162" i="1"/>
  <c r="L59" i="10"/>
  <c r="G8" i="1"/>
  <c r="G76" i="1"/>
  <c r="G326" i="1"/>
  <c r="G261" i="1"/>
  <c r="F27" i="10"/>
  <c r="E326" i="1"/>
  <c r="G123" i="1"/>
  <c r="E101" i="1"/>
  <c r="E17" i="10"/>
  <c r="G148" i="10"/>
  <c r="G169" i="1"/>
  <c r="G7" i="1"/>
  <c r="G222" i="1"/>
  <c r="G171" i="1"/>
  <c r="G325" i="1"/>
  <c r="N169" i="10"/>
  <c r="E278" i="10"/>
  <c r="F277" i="10"/>
  <c r="E19" i="10"/>
  <c r="E21" i="10"/>
  <c r="F45" i="10"/>
  <c r="F43" i="10"/>
  <c r="F299" i="1"/>
  <c r="F57" i="1"/>
  <c r="F257" i="1"/>
  <c r="F181" i="1"/>
  <c r="F223" i="1"/>
  <c r="F142" i="1"/>
  <c r="E276" i="1"/>
  <c r="E96" i="1"/>
  <c r="E216" i="1"/>
  <c r="G282" i="10"/>
  <c r="F281" i="10"/>
  <c r="G39" i="10"/>
  <c r="G41" i="10"/>
  <c r="E33" i="1"/>
  <c r="E198" i="1"/>
  <c r="E300" i="1"/>
  <c r="F300" i="1"/>
  <c r="E6" i="1"/>
  <c r="F200" i="1"/>
  <c r="G27" i="1"/>
  <c r="G24" i="1"/>
  <c r="L4" i="20"/>
  <c r="G21" i="1"/>
  <c r="G26" i="1"/>
  <c r="G18" i="1"/>
  <c r="G20" i="1"/>
  <c r="G105" i="1"/>
  <c r="G25" i="1"/>
  <c r="G22" i="1"/>
  <c r="G68" i="1"/>
  <c r="G72" i="1"/>
  <c r="G311" i="1"/>
  <c r="G12" i="1"/>
  <c r="G74" i="1"/>
  <c r="G73" i="1"/>
  <c r="G71" i="1"/>
  <c r="L16" i="20"/>
  <c r="N5" i="20"/>
  <c r="M15" i="20"/>
  <c r="L5" i="20"/>
  <c r="E74" i="1"/>
  <c r="E21" i="1"/>
  <c r="F311" i="1"/>
  <c r="F72" i="1"/>
  <c r="E26" i="1"/>
  <c r="E12" i="1"/>
  <c r="E105" i="1"/>
  <c r="E22" i="1"/>
  <c r="E311" i="1"/>
  <c r="G5" i="20"/>
  <c r="F3" i="20"/>
  <c r="F23" i="1"/>
  <c r="L15" i="20"/>
  <c r="E68" i="1"/>
  <c r="G17" i="20"/>
  <c r="F68" i="1"/>
  <c r="F73" i="1"/>
  <c r="E25" i="1"/>
  <c r="E71" i="1"/>
  <c r="E5" i="9"/>
  <c r="I20" i="9"/>
  <c r="G119" i="1"/>
  <c r="Q26" i="8"/>
  <c r="I17" i="9"/>
  <c r="E4" i="9"/>
  <c r="G127" i="1"/>
  <c r="I22" i="9"/>
  <c r="H12" i="8"/>
  <c r="I15" i="9"/>
  <c r="I24" i="9"/>
  <c r="G11" i="22"/>
  <c r="G12" i="22"/>
  <c r="I16" i="9"/>
  <c r="E6" i="9"/>
  <c r="E119" i="1"/>
  <c r="G29" i="8"/>
  <c r="E3" i="9"/>
  <c r="I21" i="9"/>
  <c r="I23" i="9"/>
  <c r="M3" i="8"/>
  <c r="I19" i="9"/>
  <c r="G121" i="1"/>
  <c r="H30" i="8"/>
  <c r="H11" i="22"/>
  <c r="H12" i="22"/>
  <c r="F13" i="9"/>
  <c r="F16" i="9"/>
  <c r="I73" i="9"/>
  <c r="I74" i="9"/>
  <c r="H35" i="8"/>
  <c r="H37" i="8"/>
  <c r="H5" i="8"/>
  <c r="O3" i="8"/>
  <c r="Q31" i="8"/>
  <c r="Q36" i="8"/>
  <c r="G118" i="1"/>
  <c r="E19" i="8"/>
  <c r="D19" i="8"/>
  <c r="E43" i="9"/>
  <c r="I43" i="9"/>
  <c r="I53" i="9"/>
  <c r="F14" i="8"/>
  <c r="H15" i="8"/>
  <c r="G34" i="8"/>
  <c r="P34" i="8"/>
  <c r="H40" i="8"/>
  <c r="G19" i="8"/>
  <c r="P3" i="8"/>
  <c r="Q16" i="8"/>
  <c r="H13" i="9"/>
  <c r="G29" i="1"/>
  <c r="G129" i="1"/>
  <c r="E14" i="8"/>
  <c r="Q5" i="8"/>
  <c r="D14" i="8"/>
  <c r="M15" i="8"/>
  <c r="G14" i="8"/>
  <c r="H26" i="8"/>
  <c r="H27" i="8"/>
  <c r="G125" i="1"/>
  <c r="G3" i="22"/>
  <c r="E29" i="1"/>
  <c r="H20" i="8"/>
  <c r="H4" i="22"/>
  <c r="H5" i="22"/>
  <c r="I103" i="9"/>
  <c r="I113" i="9"/>
  <c r="G24" i="8"/>
  <c r="N3" i="8"/>
  <c r="M4" i="8"/>
  <c r="E13" i="9"/>
  <c r="G13" i="9"/>
  <c r="I58" i="9"/>
  <c r="F104" i="1"/>
  <c r="N9" i="10"/>
  <c r="M9" i="10"/>
  <c r="F255" i="1"/>
  <c r="F15" i="1"/>
  <c r="F163" i="1"/>
  <c r="F59" i="1"/>
  <c r="F294" i="1"/>
  <c r="F139" i="1"/>
  <c r="F156" i="1"/>
  <c r="F147" i="1"/>
  <c r="F54" i="1"/>
  <c r="F280" i="1"/>
  <c r="E3" i="26"/>
  <c r="F293" i="1"/>
  <c r="F69" i="1"/>
  <c r="F182" i="1"/>
  <c r="F63" i="1"/>
  <c r="G5" i="1"/>
  <c r="F215" i="1"/>
  <c r="G9" i="17"/>
  <c r="G8" i="17"/>
  <c r="J13" i="17"/>
  <c r="F166" i="1"/>
  <c r="F229" i="1"/>
  <c r="G220" i="1"/>
  <c r="G229" i="1"/>
  <c r="G43" i="1"/>
  <c r="G35" i="1"/>
  <c r="M169" i="10"/>
  <c r="F217" i="1"/>
  <c r="F87" i="1"/>
  <c r="F35" i="1"/>
  <c r="E222" i="1"/>
  <c r="E217" i="1"/>
  <c r="E178" i="1"/>
  <c r="E87" i="1"/>
  <c r="M146" i="10"/>
  <c r="F113" i="1"/>
  <c r="M86" i="10"/>
  <c r="F273" i="1"/>
  <c r="F199" i="1"/>
  <c r="F266" i="1"/>
  <c r="F191" i="1"/>
  <c r="F262" i="1"/>
  <c r="F185" i="1"/>
  <c r="F225" i="1"/>
  <c r="F177" i="1"/>
  <c r="F81" i="1"/>
  <c r="P39" i="8"/>
  <c r="G40" i="8"/>
  <c r="G42" i="8"/>
  <c r="F17" i="1"/>
  <c r="F19" i="1"/>
  <c r="E104" i="1"/>
  <c r="E43" i="1"/>
  <c r="N191" i="10"/>
  <c r="F290" i="1"/>
  <c r="F14" i="9"/>
  <c r="O16" i="8"/>
  <c r="G43" i="9"/>
  <c r="G50" i="9"/>
  <c r="L191" i="10"/>
  <c r="E331" i="1"/>
  <c r="E227" i="1"/>
  <c r="G331" i="1"/>
  <c r="G227" i="1"/>
  <c r="E95" i="1"/>
  <c r="M41" i="10"/>
  <c r="E171" i="1"/>
  <c r="I26" i="24"/>
  <c r="I27" i="24"/>
  <c r="I23" i="24"/>
  <c r="I28" i="24"/>
  <c r="I22" i="24"/>
  <c r="I21" i="24"/>
  <c r="I24" i="24"/>
  <c r="I25" i="24"/>
  <c r="L203" i="10"/>
  <c r="M202" i="10"/>
  <c r="F289" i="1"/>
  <c r="F256" i="1"/>
  <c r="E332" i="1"/>
  <c r="E339" i="1"/>
  <c r="F287" i="1"/>
  <c r="L146" i="10"/>
  <c r="G333" i="1"/>
  <c r="L240" i="10"/>
  <c r="E179" i="1"/>
  <c r="E159" i="1"/>
  <c r="E53" i="1"/>
  <c r="E314" i="1"/>
  <c r="E330" i="1"/>
  <c r="F151" i="1"/>
  <c r="F331" i="1"/>
  <c r="G183" i="1"/>
  <c r="F187" i="1"/>
  <c r="F226" i="1"/>
  <c r="L202" i="10"/>
  <c r="F220" i="1"/>
  <c r="G226" i="1"/>
  <c r="G290" i="1"/>
  <c r="G187" i="1"/>
  <c r="G256" i="1"/>
  <c r="E325" i="1"/>
  <c r="E282" i="1"/>
  <c r="F282" i="1"/>
  <c r="L169" i="10"/>
  <c r="E102" i="1"/>
  <c r="L189" i="10"/>
  <c r="E110" i="1"/>
  <c r="G110" i="1"/>
  <c r="G146" i="1"/>
  <c r="N108" i="10"/>
  <c r="G111" i="1"/>
  <c r="F32" i="26"/>
  <c r="M135" i="10"/>
  <c r="G170" i="1"/>
  <c r="L65" i="10"/>
  <c r="G258" i="1"/>
  <c r="L31" i="10"/>
  <c r="G310" i="1"/>
  <c r="F310" i="1"/>
  <c r="G208" i="1"/>
  <c r="E3" i="1"/>
  <c r="F3" i="1"/>
  <c r="L28" i="10"/>
  <c r="L15" i="10"/>
  <c r="M40" i="8"/>
  <c r="F15" i="9"/>
  <c r="H103" i="9"/>
  <c r="H106" i="9"/>
  <c r="F86" i="1"/>
  <c r="F16" i="1"/>
  <c r="E318" i="1"/>
  <c r="G184" i="1"/>
  <c r="G336" i="1"/>
  <c r="F168" i="1"/>
  <c r="M33" i="10"/>
  <c r="E146" i="1"/>
  <c r="G39" i="1"/>
  <c r="N59" i="10"/>
  <c r="L43" i="10"/>
  <c r="N137" i="10"/>
  <c r="M148" i="10"/>
  <c r="G285" i="1"/>
  <c r="G66" i="1"/>
  <c r="G106" i="1"/>
  <c r="G92" i="1"/>
  <c r="F183" i="1"/>
  <c r="G166" i="1"/>
  <c r="G289" i="1"/>
  <c r="F274" i="10"/>
  <c r="F253" i="1"/>
  <c r="G318" i="1"/>
  <c r="G192" i="1"/>
  <c r="E259" i="1"/>
  <c r="E175" i="1"/>
  <c r="E7" i="1"/>
  <c r="L76" i="10"/>
  <c r="M31" i="10"/>
  <c r="N255" i="10"/>
  <c r="M302" i="10"/>
  <c r="G149" i="1"/>
  <c r="G160" i="1"/>
  <c r="E335" i="1"/>
  <c r="E150" i="1"/>
  <c r="M15" i="10"/>
  <c r="E181" i="1"/>
  <c r="F138" i="1"/>
  <c r="L3" i="10"/>
  <c r="E42" i="1"/>
  <c r="E38" i="1"/>
  <c r="E328" i="1"/>
  <c r="L238" i="10"/>
  <c r="G58" i="1"/>
  <c r="G144" i="1"/>
  <c r="F334" i="1"/>
  <c r="L45" i="10"/>
  <c r="F136" i="1"/>
  <c r="G4" i="1"/>
  <c r="G189" i="1"/>
  <c r="G11" i="1"/>
  <c r="G315" i="1"/>
  <c r="G100" i="1"/>
  <c r="G10" i="1"/>
  <c r="L108" i="10"/>
  <c r="E111" i="1"/>
  <c r="E317" i="1"/>
  <c r="L136" i="10"/>
  <c r="F162" i="1"/>
  <c r="F284" i="1"/>
  <c r="M88" i="10"/>
  <c r="L77" i="10"/>
  <c r="F271" i="1"/>
  <c r="F264" i="1"/>
  <c r="G274" i="1"/>
  <c r="L13" i="10"/>
  <c r="G65" i="1"/>
  <c r="F65" i="1"/>
  <c r="E192" i="1"/>
  <c r="E170" i="1"/>
  <c r="F190" i="1"/>
  <c r="F67" i="1"/>
  <c r="F93" i="1"/>
  <c r="F137" i="1"/>
  <c r="F322" i="1"/>
  <c r="F186" i="1"/>
  <c r="F174" i="1"/>
  <c r="F31" i="1"/>
  <c r="F132" i="1"/>
  <c r="F101" i="1"/>
  <c r="F56" i="1"/>
  <c r="F231" i="1"/>
  <c r="F230" i="1"/>
  <c r="F40" i="1"/>
  <c r="F94" i="1"/>
  <c r="E109" i="1"/>
  <c r="L66" i="10"/>
  <c r="F6" i="1"/>
  <c r="L137" i="10"/>
  <c r="G296" i="1"/>
  <c r="F296" i="1"/>
  <c r="E333" i="1"/>
  <c r="E336" i="1"/>
  <c r="N274" i="10"/>
  <c r="L75" i="10"/>
  <c r="E142" i="1"/>
  <c r="L25" i="10"/>
  <c r="F286" i="10"/>
  <c r="F284" i="10"/>
  <c r="F329" i="1"/>
  <c r="F145" i="1"/>
  <c r="F114" i="1"/>
  <c r="F112" i="1"/>
  <c r="F36" i="1"/>
  <c r="F233" i="1"/>
  <c r="F91" i="1"/>
  <c r="F267" i="1"/>
  <c r="F281" i="1"/>
  <c r="F158" i="1"/>
  <c r="F99" i="1"/>
  <c r="F254" i="1"/>
  <c r="F134" i="1"/>
  <c r="F188" i="1"/>
  <c r="F13" i="1"/>
  <c r="F32" i="1"/>
  <c r="F228" i="1"/>
  <c r="F41" i="1"/>
  <c r="F135" i="1"/>
  <c r="M214" i="10"/>
  <c r="F108" i="1"/>
  <c r="E293" i="1"/>
  <c r="M204" i="10"/>
  <c r="N302" i="10"/>
  <c r="L32" i="10"/>
  <c r="L17" i="10"/>
  <c r="L20" i="10"/>
  <c r="E272" i="1"/>
  <c r="F272" i="1"/>
  <c r="E69" i="1"/>
  <c r="L88" i="10"/>
  <c r="E221" i="1"/>
  <c r="E59" i="1"/>
  <c r="G329" i="1"/>
  <c r="G151" i="1"/>
  <c r="G36" i="1"/>
  <c r="G112" i="1"/>
  <c r="G135" i="1"/>
  <c r="G254" i="1"/>
  <c r="G334" i="1"/>
  <c r="L213" i="10"/>
  <c r="G158" i="1"/>
  <c r="G188" i="1"/>
  <c r="G134" i="1"/>
  <c r="G108" i="1"/>
  <c r="G281" i="1"/>
  <c r="M212" i="10"/>
  <c r="G114" i="1"/>
  <c r="G32" i="1"/>
  <c r="G41" i="1"/>
  <c r="N204" i="10"/>
  <c r="G233" i="1"/>
  <c r="G267" i="1"/>
  <c r="G91" i="1"/>
  <c r="G145" i="1"/>
  <c r="G13" i="1"/>
  <c r="G99" i="1"/>
  <c r="G228" i="1"/>
  <c r="G115" i="1"/>
  <c r="M75" i="10"/>
  <c r="G141" i="1"/>
  <c r="G173" i="1"/>
  <c r="G223" i="1"/>
  <c r="G142" i="1"/>
  <c r="G34" i="1"/>
  <c r="G57" i="1"/>
  <c r="N66" i="10"/>
  <c r="G263" i="1"/>
  <c r="G257" i="1"/>
  <c r="G181" i="1"/>
  <c r="L19" i="10"/>
  <c r="M19" i="10"/>
  <c r="M17" i="10"/>
  <c r="F167" i="1"/>
  <c r="F276" i="1"/>
  <c r="F96" i="1"/>
  <c r="F180" i="1"/>
  <c r="L252" i="10"/>
  <c r="F97" i="1"/>
  <c r="M252" i="10"/>
  <c r="F216" i="1"/>
  <c r="M240" i="10"/>
  <c r="M48" i="10"/>
  <c r="L48" i="10"/>
  <c r="M45" i="10"/>
  <c r="N77" i="10"/>
  <c r="E294" i="1"/>
  <c r="E156" i="1"/>
  <c r="E291" i="1"/>
  <c r="M51" i="10"/>
  <c r="G320" i="1"/>
  <c r="N41" i="10"/>
  <c r="G283" i="1"/>
  <c r="G176" i="1"/>
  <c r="L44" i="10"/>
  <c r="G265" i="1"/>
  <c r="M43" i="10"/>
  <c r="M21" i="10"/>
  <c r="L290" i="10"/>
  <c r="E219" i="1"/>
  <c r="F219" i="1"/>
  <c r="E141" i="1"/>
  <c r="E115" i="1"/>
  <c r="E173" i="1"/>
  <c r="E223" i="1"/>
  <c r="E57" i="1"/>
  <c r="E34" i="1"/>
  <c r="E263" i="1"/>
  <c r="E218" i="1"/>
  <c r="F218" i="1"/>
  <c r="L298" i="10"/>
  <c r="L23" i="10"/>
  <c r="L5" i="10"/>
  <c r="L273" i="10"/>
  <c r="G313" i="1"/>
  <c r="L40" i="10"/>
  <c r="M39" i="10"/>
  <c r="N33" i="10"/>
  <c r="L21" i="10"/>
  <c r="G38" i="1"/>
  <c r="G150" i="1"/>
  <c r="G314" i="1"/>
  <c r="G42" i="1"/>
  <c r="N214" i="10"/>
  <c r="G335" i="1"/>
  <c r="G330" i="1"/>
  <c r="G159" i="1"/>
  <c r="G179" i="1"/>
  <c r="G328" i="1"/>
  <c r="G104" i="1"/>
  <c r="G53" i="1"/>
  <c r="N240" i="10"/>
  <c r="L239" i="10"/>
  <c r="M238" i="10"/>
  <c r="F339" i="1"/>
  <c r="F332" i="1"/>
  <c r="F102" i="1"/>
  <c r="F325" i="1"/>
  <c r="F7" i="1"/>
  <c r="F171" i="1"/>
  <c r="F175" i="1"/>
  <c r="F222" i="1"/>
  <c r="F259" i="1"/>
  <c r="L188" i="10"/>
  <c r="F178" i="1"/>
  <c r="E147" i="1"/>
  <c r="E286" i="1"/>
  <c r="E182" i="1"/>
  <c r="E5" i="1"/>
  <c r="E49" i="1"/>
  <c r="E163" i="1"/>
  <c r="E288" i="1"/>
  <c r="E165" i="1"/>
  <c r="D3" i="26"/>
  <c r="K4" i="26"/>
  <c r="E15" i="1"/>
  <c r="E37" i="1"/>
  <c r="E54" i="1"/>
  <c r="L106" i="10"/>
  <c r="E139" i="1"/>
  <c r="E280" i="1"/>
  <c r="E275" i="1"/>
  <c r="F107" i="1"/>
  <c r="F100" i="1"/>
  <c r="F106" i="1"/>
  <c r="F10" i="1"/>
  <c r="F92" i="1"/>
  <c r="M59" i="10"/>
  <c r="F258" i="1"/>
  <c r="F11" i="1"/>
  <c r="L64" i="10"/>
  <c r="F39" i="1"/>
  <c r="M64" i="10"/>
  <c r="M66" i="10"/>
  <c r="M191" i="10"/>
  <c r="F4" i="26"/>
  <c r="F5" i="26"/>
  <c r="F58" i="1"/>
  <c r="F184" i="1"/>
  <c r="F160" i="1"/>
  <c r="F144" i="1"/>
  <c r="L261" i="10"/>
  <c r="F285" i="1"/>
  <c r="F149" i="1"/>
  <c r="M261" i="10"/>
  <c r="F189" i="1"/>
  <c r="M254" i="10"/>
  <c r="E145" i="1"/>
  <c r="E329" i="1"/>
  <c r="E41" i="1"/>
  <c r="E228" i="1"/>
  <c r="L204" i="10"/>
  <c r="E114" i="1"/>
  <c r="E188" i="1"/>
  <c r="E112" i="1"/>
  <c r="E334" i="1"/>
  <c r="E158" i="1"/>
  <c r="E108" i="1"/>
  <c r="E32" i="1"/>
  <c r="E134" i="1"/>
  <c r="E267" i="1"/>
  <c r="E281" i="1"/>
  <c r="E135" i="1"/>
  <c r="E13" i="1"/>
  <c r="L212" i="10"/>
  <c r="E91" i="1"/>
  <c r="E99" i="1"/>
  <c r="E36" i="1"/>
  <c r="E151" i="1"/>
  <c r="E254" i="1"/>
  <c r="E233" i="1"/>
  <c r="L214" i="10"/>
  <c r="E260" i="1"/>
  <c r="F260" i="1"/>
  <c r="E323" i="1"/>
  <c r="E55" i="1"/>
  <c r="E14" i="1"/>
  <c r="F282" i="10"/>
  <c r="F280" i="10"/>
  <c r="F278" i="10"/>
  <c r="F276" i="10"/>
  <c r="M188" i="10"/>
  <c r="L27" i="10"/>
  <c r="M29" i="10"/>
  <c r="M25" i="10"/>
  <c r="M27" i="10"/>
  <c r="F146" i="1"/>
  <c r="F333" i="1"/>
  <c r="F192" i="1"/>
  <c r="F336" i="1"/>
  <c r="L135" i="10"/>
  <c r="F111" i="1"/>
  <c r="F318" i="1"/>
  <c r="F110" i="1"/>
  <c r="F317" i="1"/>
  <c r="M137" i="10"/>
  <c r="E32" i="26"/>
  <c r="M108" i="10"/>
  <c r="F170" i="1"/>
  <c r="L107" i="10"/>
  <c r="F321" i="1"/>
  <c r="F140" i="1"/>
  <c r="M77" i="10"/>
  <c r="F169" i="1"/>
  <c r="F338" i="1"/>
  <c r="F8" i="1"/>
  <c r="F123" i="1"/>
  <c r="F88" i="1"/>
  <c r="F90" i="1"/>
  <c r="L86" i="10"/>
  <c r="G190" i="1"/>
  <c r="G162" i="1"/>
  <c r="G264" i="1"/>
  <c r="G168" i="1"/>
  <c r="L58" i="10"/>
  <c r="M57" i="10"/>
  <c r="G271" i="1"/>
  <c r="G284" i="1"/>
  <c r="N52" i="10"/>
  <c r="E320" i="1"/>
  <c r="E283" i="1"/>
  <c r="L41" i="10"/>
  <c r="E176" i="1"/>
  <c r="F176" i="1"/>
  <c r="E265" i="1"/>
  <c r="E224" i="1"/>
  <c r="F224" i="1"/>
  <c r="L9" i="10"/>
  <c r="L11" i="10"/>
  <c r="F26" i="1"/>
  <c r="F20" i="1"/>
  <c r="F18" i="1"/>
  <c r="F24" i="1"/>
  <c r="F105" i="1"/>
  <c r="F27" i="1"/>
  <c r="F21" i="1"/>
  <c r="M5" i="20"/>
  <c r="F25" i="1"/>
  <c r="L3" i="20"/>
  <c r="M3" i="20"/>
  <c r="F24" i="9"/>
  <c r="F23" i="9"/>
  <c r="F19" i="9"/>
  <c r="G41" i="8"/>
  <c r="F22" i="9"/>
  <c r="I82" i="9"/>
  <c r="F20" i="9"/>
  <c r="F17" i="9"/>
  <c r="F21" i="9"/>
  <c r="I80" i="9"/>
  <c r="H32" i="8"/>
  <c r="H31" i="8"/>
  <c r="E130" i="1"/>
  <c r="H73" i="9"/>
  <c r="G30" i="8"/>
  <c r="I81" i="9"/>
  <c r="I76" i="9"/>
  <c r="I75" i="9"/>
  <c r="I79" i="9"/>
  <c r="I84" i="9"/>
  <c r="I77" i="9"/>
  <c r="I83" i="9"/>
  <c r="M30" i="8"/>
  <c r="P29" i="8"/>
  <c r="H36" i="8"/>
  <c r="H16" i="8"/>
  <c r="H17" i="8"/>
  <c r="O5" i="8"/>
  <c r="G28" i="9"/>
  <c r="F15" i="8"/>
  <c r="N14" i="8"/>
  <c r="G17" i="9"/>
  <c r="G19" i="9"/>
  <c r="G23" i="9"/>
  <c r="G24" i="9"/>
  <c r="G14" i="9"/>
  <c r="G22" i="9"/>
  <c r="G15" i="9"/>
  <c r="G21" i="9"/>
  <c r="G20" i="9"/>
  <c r="G16" i="9"/>
  <c r="P21" i="8"/>
  <c r="G25" i="8"/>
  <c r="P26" i="8"/>
  <c r="M25" i="8"/>
  <c r="H58" i="9"/>
  <c r="E129" i="1"/>
  <c r="G4" i="22"/>
  <c r="G5" i="22"/>
  <c r="H28" i="9"/>
  <c r="G15" i="8"/>
  <c r="P5" i="8"/>
  <c r="O14" i="8"/>
  <c r="P14" i="8"/>
  <c r="I54" i="9"/>
  <c r="I52" i="9"/>
  <c r="I47" i="9"/>
  <c r="I49" i="9"/>
  <c r="I50" i="9"/>
  <c r="I46" i="9"/>
  <c r="I51" i="9"/>
  <c r="I45" i="9"/>
  <c r="I44" i="9"/>
  <c r="E21" i="9"/>
  <c r="E22" i="9"/>
  <c r="E24" i="9"/>
  <c r="E14" i="9"/>
  <c r="E23" i="9"/>
  <c r="E17" i="9"/>
  <c r="E15" i="9"/>
  <c r="E16" i="9"/>
  <c r="E20" i="9"/>
  <c r="E19" i="9"/>
  <c r="P24" i="8"/>
  <c r="E28" i="9"/>
  <c r="M5" i="8"/>
  <c r="E125" i="1"/>
  <c r="D15" i="8"/>
  <c r="H43" i="9"/>
  <c r="P19" i="8"/>
  <c r="G20" i="8"/>
  <c r="P16" i="8"/>
  <c r="O19" i="8"/>
  <c r="M19" i="8"/>
  <c r="D20" i="8"/>
  <c r="E128" i="1"/>
  <c r="E126" i="1"/>
  <c r="H21" i="9"/>
  <c r="H23" i="9"/>
  <c r="H22" i="9"/>
  <c r="H14" i="9"/>
  <c r="H19" i="9"/>
  <c r="H15" i="9"/>
  <c r="H20" i="9"/>
  <c r="H17" i="9"/>
  <c r="H24" i="9"/>
  <c r="H16" i="9"/>
  <c r="H41" i="8"/>
  <c r="H42" i="8"/>
  <c r="N16" i="8"/>
  <c r="N19" i="8"/>
  <c r="F43" i="9"/>
  <c r="E20" i="8"/>
  <c r="M16" i="8"/>
  <c r="I69" i="9"/>
  <c r="I66" i="9"/>
  <c r="I68" i="9"/>
  <c r="I60" i="9"/>
  <c r="I61" i="9"/>
  <c r="I67" i="9"/>
  <c r="I62" i="9"/>
  <c r="I59" i="9"/>
  <c r="I64" i="9"/>
  <c r="I65" i="9"/>
  <c r="I114" i="9"/>
  <c r="I110" i="9"/>
  <c r="I105" i="9"/>
  <c r="I112" i="9"/>
  <c r="I106" i="9"/>
  <c r="I109" i="9"/>
  <c r="I111" i="9"/>
  <c r="I104" i="9"/>
  <c r="I107" i="9"/>
  <c r="H21" i="8"/>
  <c r="H22" i="8"/>
  <c r="F28" i="9"/>
  <c r="M14" i="8"/>
  <c r="N5" i="8"/>
  <c r="E15" i="8"/>
  <c r="E118" i="1"/>
  <c r="H88" i="9"/>
  <c r="G35" i="8"/>
  <c r="P31" i="8"/>
  <c r="M35" i="8"/>
  <c r="P36" i="8"/>
  <c r="M20" i="8"/>
  <c r="E4" i="26"/>
  <c r="E5" i="26"/>
  <c r="F246" i="1"/>
  <c r="L3" i="26"/>
  <c r="E51" i="9"/>
  <c r="E49" i="9"/>
  <c r="E46" i="9"/>
  <c r="E44" i="9"/>
  <c r="E53" i="9"/>
  <c r="E52" i="9"/>
  <c r="E50" i="9"/>
  <c r="E47" i="9"/>
  <c r="E45" i="9"/>
  <c r="E54" i="9"/>
  <c r="G49" i="9"/>
  <c r="G46" i="9"/>
  <c r="G45" i="9"/>
  <c r="G44" i="9"/>
  <c r="G53" i="9"/>
  <c r="G51" i="9"/>
  <c r="G54" i="9"/>
  <c r="G47" i="9"/>
  <c r="G52" i="9"/>
  <c r="M5" i="26"/>
  <c r="L32" i="26"/>
  <c r="F33" i="26"/>
  <c r="F34" i="26"/>
  <c r="H113" i="9"/>
  <c r="H105" i="9"/>
  <c r="H109" i="9"/>
  <c r="H110" i="9"/>
  <c r="H107" i="9"/>
  <c r="H111" i="9"/>
  <c r="H112" i="9"/>
  <c r="H114" i="9"/>
  <c r="H104" i="9"/>
  <c r="L5" i="26"/>
  <c r="M284" i="10"/>
  <c r="M286" i="10"/>
  <c r="M276" i="10"/>
  <c r="D4" i="26"/>
  <c r="D5" i="26"/>
  <c r="E246" i="1"/>
  <c r="K3" i="26"/>
  <c r="M282" i="10"/>
  <c r="M278" i="10"/>
  <c r="L280" i="10"/>
  <c r="F283" i="1"/>
  <c r="E33" i="26"/>
  <c r="E34" i="26"/>
  <c r="G32" i="8"/>
  <c r="G31" i="8"/>
  <c r="H82" i="9"/>
  <c r="H75" i="9"/>
  <c r="H79" i="9"/>
  <c r="H81" i="9"/>
  <c r="H77" i="9"/>
  <c r="H76" i="9"/>
  <c r="H84" i="9"/>
  <c r="H74" i="9"/>
  <c r="H80" i="9"/>
  <c r="H83" i="9"/>
  <c r="F29" i="9"/>
  <c r="F39" i="9"/>
  <c r="F38" i="9"/>
  <c r="F35" i="9"/>
  <c r="F34" i="9"/>
  <c r="F36" i="9"/>
  <c r="F32" i="9"/>
  <c r="F30" i="9"/>
  <c r="F31" i="9"/>
  <c r="F37" i="9"/>
  <c r="F46" i="9"/>
  <c r="F47" i="9"/>
  <c r="F49" i="9"/>
  <c r="F45" i="9"/>
  <c r="F53" i="9"/>
  <c r="F54" i="9"/>
  <c r="F50" i="9"/>
  <c r="F44" i="9"/>
  <c r="F52" i="9"/>
  <c r="F51" i="9"/>
  <c r="D17" i="8"/>
  <c r="D16" i="8"/>
  <c r="H67" i="9"/>
  <c r="H59" i="9"/>
  <c r="H66" i="9"/>
  <c r="H61" i="9"/>
  <c r="H68" i="9"/>
  <c r="H64" i="9"/>
  <c r="H60" i="9"/>
  <c r="H62" i="9"/>
  <c r="H65" i="9"/>
  <c r="H69" i="9"/>
  <c r="E17" i="8"/>
  <c r="E16" i="8"/>
  <c r="D22" i="8"/>
  <c r="D21" i="8"/>
  <c r="G22" i="8"/>
  <c r="G21" i="8"/>
  <c r="G16" i="8"/>
  <c r="G17" i="8"/>
  <c r="F16" i="8"/>
  <c r="F17" i="8"/>
  <c r="H30" i="9"/>
  <c r="H36" i="9"/>
  <c r="H34" i="9"/>
  <c r="H32" i="9"/>
  <c r="H37" i="9"/>
  <c r="H38" i="9"/>
  <c r="H29" i="9"/>
  <c r="H39" i="9"/>
  <c r="H31" i="9"/>
  <c r="H35" i="9"/>
  <c r="G35" i="9"/>
  <c r="G29" i="9"/>
  <c r="G36" i="9"/>
  <c r="G31" i="9"/>
  <c r="G39" i="9"/>
  <c r="G30" i="9"/>
  <c r="G38" i="9"/>
  <c r="G32" i="9"/>
  <c r="G37" i="9"/>
  <c r="G34" i="9"/>
  <c r="G36" i="8"/>
  <c r="G37" i="8"/>
  <c r="H95" i="9"/>
  <c r="H90" i="9"/>
  <c r="H97" i="9"/>
  <c r="H91" i="9"/>
  <c r="H99" i="9"/>
  <c r="H98" i="9"/>
  <c r="H96" i="9"/>
  <c r="H89" i="9"/>
  <c r="H94" i="9"/>
  <c r="H92" i="9"/>
  <c r="E21" i="8"/>
  <c r="E22" i="8"/>
  <c r="H54" i="9"/>
  <c r="H53" i="9"/>
  <c r="H46" i="9"/>
  <c r="H44" i="9"/>
  <c r="H45" i="9"/>
  <c r="H47" i="9"/>
  <c r="H49" i="9"/>
  <c r="H51" i="9"/>
  <c r="H52" i="9"/>
  <c r="H50" i="9"/>
  <c r="E31" i="9"/>
  <c r="E38" i="9"/>
  <c r="E34" i="9"/>
  <c r="E32" i="9"/>
  <c r="E36" i="9"/>
  <c r="E37" i="9"/>
  <c r="E39" i="9"/>
  <c r="E35" i="9"/>
  <c r="E30" i="9"/>
  <c r="E29" i="9"/>
  <c r="G26" i="8"/>
  <c r="G27" i="8"/>
  <c r="M272" i="10"/>
  <c r="L272" i="10"/>
  <c r="M274" i="10"/>
  <c r="M5" i="10"/>
  <c r="L277" i="10"/>
  <c r="L274" i="10"/>
  <c r="L278" i="10"/>
  <c r="L276" i="10"/>
  <c r="Q21" i="13"/>
  <c r="Q19" i="13"/>
  <c r="Q17" i="13"/>
  <c r="P19" i="13"/>
  <c r="N15" i="13"/>
  <c r="O13" i="13"/>
  <c r="O15" i="13"/>
  <c r="R13" i="13"/>
  <c r="R17" i="13"/>
  <c r="Q15" i="13"/>
  <c r="L282" i="10"/>
  <c r="L285" i="10"/>
  <c r="L286" i="10"/>
  <c r="L284" i="10"/>
  <c r="N3" i="13"/>
  <c r="O3" i="13"/>
  <c r="O5" i="13"/>
  <c r="G89" i="1"/>
  <c r="G302" i="1"/>
  <c r="N16" i="13"/>
  <c r="R15" i="13"/>
  <c r="S13" i="13"/>
  <c r="Q11" i="13"/>
  <c r="R11" i="13"/>
  <c r="R9" i="13"/>
  <c r="F21" i="8"/>
  <c r="F22" i="8"/>
  <c r="N278" i="10"/>
  <c r="L281" i="10"/>
  <c r="N282" i="10"/>
  <c r="M280" i="10"/>
  <c r="D5" i="8"/>
  <c r="D6" i="8"/>
  <c r="G5" i="8"/>
  <c r="G6" i="8"/>
  <c r="L4" i="28"/>
  <c r="G116" i="1"/>
  <c r="M3" i="28"/>
  <c r="E340" i="1"/>
  <c r="G340" i="1"/>
  <c r="F340" i="1"/>
  <c r="P23" i="13"/>
  <c r="P21" i="13"/>
  <c r="N24" i="13"/>
  <c r="S21" i="13"/>
  <c r="R23" i="13"/>
  <c r="Q3" i="13"/>
  <c r="R5" i="13"/>
  <c r="E303" i="1"/>
  <c r="N9" i="13"/>
  <c r="N11" i="13"/>
  <c r="N13" i="13"/>
  <c r="N12" i="13"/>
  <c r="G209" i="1"/>
  <c r="G210" i="1"/>
  <c r="N20" i="13"/>
  <c r="S17" i="13"/>
  <c r="R19" i="13"/>
  <c r="E301" i="1"/>
  <c r="N5" i="13"/>
  <c r="E6" i="8"/>
  <c r="E5" i="8"/>
  <c r="F5" i="8"/>
  <c r="F6" i="8"/>
  <c r="I35" i="9"/>
  <c r="I38" i="9"/>
  <c r="I36" i="9"/>
  <c r="I29" i="9"/>
  <c r="I34" i="9"/>
  <c r="I30" i="9"/>
  <c r="I39" i="9"/>
  <c r="I32" i="9"/>
  <c r="I31" i="9"/>
  <c r="I37" i="9"/>
  <c r="I90" i="9"/>
  <c r="I97" i="9"/>
  <c r="I89" i="9"/>
  <c r="I96" i="9"/>
  <c r="I92" i="9"/>
  <c r="I91" i="9"/>
  <c r="I94" i="9"/>
  <c r="I99" i="9"/>
  <c r="I95" i="9"/>
  <c r="I98" i="9"/>
  <c r="G301" i="1"/>
  <c r="R3" i="13"/>
  <c r="N4" i="13"/>
  <c r="S5" i="13"/>
  <c r="E210" i="1"/>
  <c r="F210" i="1"/>
  <c r="E209" i="1"/>
  <c r="P17" i="13"/>
  <c r="F83" i="1"/>
  <c r="F33" i="1"/>
  <c r="F70" i="1"/>
  <c r="F316" i="1"/>
  <c r="G308" i="1"/>
  <c r="F308" i="1"/>
  <c r="E327" i="1"/>
  <c r="E202" i="1"/>
  <c r="O5" i="31"/>
  <c r="R3" i="31"/>
  <c r="S5" i="31"/>
  <c r="R13" i="31"/>
  <c r="R9" i="31"/>
  <c r="Q11" i="31"/>
  <c r="F243" i="1"/>
  <c r="F227" i="1"/>
  <c r="D32" i="26"/>
  <c r="F76" i="1"/>
  <c r="I20" i="17"/>
  <c r="S4" i="8"/>
  <c r="F208" i="1"/>
  <c r="E302" i="1"/>
  <c r="F302" i="1"/>
  <c r="E89" i="1"/>
  <c r="F89" i="1"/>
  <c r="O3" i="31"/>
  <c r="P5" i="31"/>
  <c r="O4" i="31"/>
  <c r="S3" i="31"/>
  <c r="T5" i="31"/>
  <c r="G202" i="1"/>
  <c r="P11" i="31"/>
  <c r="Q13" i="31"/>
  <c r="Q9" i="31"/>
  <c r="F38" i="1"/>
  <c r="F274" i="1"/>
  <c r="F4" i="1"/>
  <c r="F309" i="1"/>
  <c r="P9" i="13"/>
  <c r="P13" i="13"/>
  <c r="P3" i="31"/>
  <c r="Q5" i="31"/>
  <c r="O12" i="31"/>
  <c r="S11" i="31"/>
  <c r="G205" i="1"/>
  <c r="T13" i="31"/>
  <c r="T9" i="31"/>
  <c r="O11" i="31"/>
  <c r="P13" i="31"/>
  <c r="P9" i="31"/>
  <c r="F320" i="1"/>
  <c r="L8" i="10"/>
  <c r="F315" i="1"/>
  <c r="F232" i="1"/>
  <c r="I13" i="17"/>
  <c r="G278" i="1"/>
  <c r="G276" i="1"/>
  <c r="F133" i="1"/>
  <c r="N7" i="13"/>
  <c r="R5" i="31"/>
  <c r="Q3" i="31"/>
  <c r="R11" i="31"/>
  <c r="S13" i="31"/>
  <c r="S9" i="31"/>
  <c r="E205" i="1"/>
  <c r="F205" i="1"/>
  <c r="O13" i="31"/>
  <c r="O9" i="31"/>
  <c r="F277" i="1"/>
  <c r="I29" i="24"/>
  <c r="I46" i="24"/>
  <c r="E4" i="36"/>
  <c r="E5" i="36"/>
  <c r="H4" i="36"/>
  <c r="H5" i="36"/>
  <c r="I35" i="24"/>
  <c r="F251" i="1"/>
  <c r="F250" i="1"/>
  <c r="E29" i="24"/>
  <c r="F314" i="1"/>
  <c r="F44" i="1"/>
  <c r="F201" i="1"/>
  <c r="F313" i="1"/>
  <c r="F198" i="1"/>
  <c r="F95" i="1"/>
  <c r="F82" i="1"/>
  <c r="F124" i="1"/>
  <c r="F126" i="1"/>
  <c r="F203" i="1"/>
  <c r="F239" i="1"/>
  <c r="F64" i="1"/>
  <c r="F214" i="1"/>
  <c r="F155" i="1"/>
  <c r="F312" i="1"/>
  <c r="F209" i="1"/>
  <c r="F303" i="1"/>
  <c r="F265" i="1"/>
  <c r="F125" i="1"/>
  <c r="F143" i="1"/>
  <c r="F122" i="1"/>
  <c r="F2" i="1"/>
  <c r="F213" i="1"/>
  <c r="F304" i="1"/>
  <c r="F154" i="1"/>
  <c r="F197" i="1"/>
  <c r="F61" i="1"/>
  <c r="F193" i="1"/>
  <c r="K5" i="26"/>
  <c r="K32" i="26"/>
  <c r="D33" i="26"/>
  <c r="D34" i="26"/>
  <c r="F301" i="1"/>
  <c r="F202" i="1"/>
  <c r="K33" i="26"/>
</calcChain>
</file>

<file path=xl/sharedStrings.xml><?xml version="1.0" encoding="utf-8"?>
<sst xmlns="http://schemas.openxmlformats.org/spreadsheetml/2006/main" count="3011" uniqueCount="1095">
  <si>
    <t>TITLE CODE</t>
  </si>
  <si>
    <t>JOB TITLE</t>
  </si>
  <si>
    <t>STEP</t>
  </si>
  <si>
    <t>MAINTENANCE WORKER</t>
  </si>
  <si>
    <t>METER READER</t>
  </si>
  <si>
    <t>METER REPAIR SPECIALIST</t>
  </si>
  <si>
    <t>SKILLED WORKER</t>
  </si>
  <si>
    <t>LEAD WORKER</t>
  </si>
  <si>
    <t>TECHNICAL SPECIALIST</t>
  </si>
  <si>
    <t>CREW LEADER</t>
  </si>
  <si>
    <t>MONTHLY</t>
  </si>
  <si>
    <t>HOURLY</t>
  </si>
  <si>
    <t>POLICE SUPPORT OFFICER</t>
  </si>
  <si>
    <t>COUNCIL MEMBER</t>
  </si>
  <si>
    <t>MAYOR</t>
  </si>
  <si>
    <t>CHIEF INFORMATION OFFICER</t>
  </si>
  <si>
    <t>FIRE CHIEF</t>
  </si>
  <si>
    <t>CITY ATTORNEY</t>
  </si>
  <si>
    <t>DEPUTY CITY MANAGER</t>
  </si>
  <si>
    <t>ASST FIRE TRAINING COORDINATOR</t>
  </si>
  <si>
    <t>ENGINEERING AIDE</t>
  </si>
  <si>
    <t>PARK PATROL OFFICER</t>
  </si>
  <si>
    <t>ACCOUNTING ASSISTANT</t>
  </si>
  <si>
    <t>BUYER</t>
  </si>
  <si>
    <t>ADMINISTRATIVE ASSISTANT</t>
  </si>
  <si>
    <t>CODE COMPLIANCE OFFICER</t>
  </si>
  <si>
    <t>PARALEGAL</t>
  </si>
  <si>
    <t>PROGRAM ADMINISTRATOR</t>
  </si>
  <si>
    <t>INSPECTOR</t>
  </si>
  <si>
    <t>COMBINATION INSPECTOR</t>
  </si>
  <si>
    <t>PLANS EXAMINER</t>
  </si>
  <si>
    <t>STRUCTURAL PLANS EXAMINER</t>
  </si>
  <si>
    <t>SIGNAL ELECTRICIAN</t>
  </si>
  <si>
    <t>POLICE CAPTAIN</t>
  </si>
  <si>
    <t>POLICE MAJOR</t>
  </si>
  <si>
    <t>FIRE MARSHAL</t>
  </si>
  <si>
    <t>POLICE OFFICER</t>
  </si>
  <si>
    <t>CITY MANAGER</t>
  </si>
  <si>
    <t>ASSOCIATE PLANNER</t>
  </si>
  <si>
    <t>CONTRACT ADMINISTRATOR</t>
  </si>
  <si>
    <t>DEPUTY CITY CLERK</t>
  </si>
  <si>
    <t>FACILITIES OPERATIONS SPECIALIST</t>
  </si>
  <si>
    <t>POLICE RECORDS SUPERVISOR</t>
  </si>
  <si>
    <t>SYSTEMS ANALYST</t>
  </si>
  <si>
    <t>INSPECTION SUPERVISOR</t>
  </si>
  <si>
    <t>CODE COMPLIANCE SUPERVISOR</t>
  </si>
  <si>
    <t>PROBATION MANAGER</t>
  </si>
  <si>
    <t>SENIOR PLANNER</t>
  </si>
  <si>
    <t>SENIOR REAL PROPERTY AGENT</t>
  </si>
  <si>
    <t>SURVEY MANAGER</t>
  </si>
  <si>
    <t>ENVIRONMENTAL SCIENTIST</t>
  </si>
  <si>
    <t>FISCAL MANAGER</t>
  </si>
  <si>
    <t>PARKS RESOURCE MANAGER</t>
  </si>
  <si>
    <t>DEPUTY CITY ATTORNEY</t>
  </si>
  <si>
    <t>SUPERVISING ATTORNEY</t>
  </si>
  <si>
    <t>DEPUTY FIRE CHIEF</t>
  </si>
  <si>
    <t>24-HR HRLY</t>
  </si>
  <si>
    <t>DEPUTY MAYOR</t>
  </si>
  <si>
    <t>C03</t>
  </si>
  <si>
    <t>F01</t>
  </si>
  <si>
    <t>F03</t>
  </si>
  <si>
    <t>G01</t>
  </si>
  <si>
    <t>G13</t>
  </si>
  <si>
    <t>G16</t>
  </si>
  <si>
    <t>G18</t>
  </si>
  <si>
    <t>G21</t>
  </si>
  <si>
    <t>G22</t>
  </si>
  <si>
    <t>G23</t>
  </si>
  <si>
    <t>G24</t>
  </si>
  <si>
    <t>G25</t>
  </si>
  <si>
    <t>G27</t>
  </si>
  <si>
    <t>G28</t>
  </si>
  <si>
    <t>G29</t>
  </si>
  <si>
    <t>G30</t>
  </si>
  <si>
    <t>G31</t>
  </si>
  <si>
    <t>G32</t>
  </si>
  <si>
    <t>G33</t>
  </si>
  <si>
    <t>H01</t>
  </si>
  <si>
    <t>H03</t>
  </si>
  <si>
    <t>H05</t>
  </si>
  <si>
    <t>J01</t>
  </si>
  <si>
    <t>J02</t>
  </si>
  <si>
    <t>K01</t>
  </si>
  <si>
    <t>L01</t>
  </si>
  <si>
    <t>R01</t>
  </si>
  <si>
    <t>R02</t>
  </si>
  <si>
    <t>R03</t>
  </si>
  <si>
    <t>T01</t>
  </si>
  <si>
    <t>*</t>
  </si>
  <si>
    <t>P10</t>
  </si>
  <si>
    <t>P60</t>
  </si>
  <si>
    <t>CLEARING &amp; GRADING REVIEWER</t>
  </si>
  <si>
    <t>G14</t>
  </si>
  <si>
    <t>OFFICE ASSISTANT</t>
  </si>
  <si>
    <t>ACCOUNTING ASSOCIATE</t>
  </si>
  <si>
    <t>CUSTOMER SERVICE REPRESENTATIVE</t>
  </si>
  <si>
    <t>SENIOR OFFICE ASSISTANT</t>
  </si>
  <si>
    <t>PERMIT PROCESSING TECHNICIAN</t>
  </si>
  <si>
    <t>SENIOR ACCOUNTING ASSOCIATE</t>
  </si>
  <si>
    <t>G19</t>
  </si>
  <si>
    <t>HUMAN RESOURCES ASSISTANT</t>
  </si>
  <si>
    <t xml:space="preserve">LEGAL SECRETARY </t>
  </si>
  <si>
    <t>G20</t>
  </si>
  <si>
    <t>PUBLIC RECORDS ANALYST</t>
  </si>
  <si>
    <t>SENIOR ADMINISTRATIVE ASSISTANT</t>
  </si>
  <si>
    <t>ASSISTANT LAND USE PROFESSIONAL</t>
  </si>
  <si>
    <t>ASSISTANT PLANNER</t>
  </si>
  <si>
    <t>DATA ANALYST</t>
  </si>
  <si>
    <t>ENGINEERING TECHNICIAN</t>
  </si>
  <si>
    <t>EXECUTIVE ASSISTANT TO CITY MANAGER</t>
  </si>
  <si>
    <t>EXECUTIVE ASSISTANT TO CITY COUNCIL</t>
  </si>
  <si>
    <t>PROCUREMENT SPECIALIST</t>
  </si>
  <si>
    <t>BUDGET ANALYST</t>
  </si>
  <si>
    <t>PROBATION OFFICER</t>
  </si>
  <si>
    <t>ADMINISTRATIVE SERVICES SUPERVISOR</t>
  </si>
  <si>
    <t>HEARING EXAMINER OFFICE ADMINISTRATOR</t>
  </si>
  <si>
    <t>PARK RANGER</t>
  </si>
  <si>
    <t>PROPERTY EVIDENCE SUPERVISOR</t>
  </si>
  <si>
    <t>REAL PROPERTY AGENT</t>
  </si>
  <si>
    <t>RECREATION PROGRAM COORDINATOR</t>
  </si>
  <si>
    <t>VOLUNTEER PROGRAM COORDINATOR</t>
  </si>
  <si>
    <t>FIRE PLAN REVIEWER</t>
  </si>
  <si>
    <t>ASSOCIATE LAND USE PROFESSIONAL</t>
  </si>
  <si>
    <t>SENIOR ENGINEERING TECHNICIAN</t>
  </si>
  <si>
    <t>TELEMETRY TECHNICIAN</t>
  </si>
  <si>
    <t>ACCOUNTING SUPERVISOR</t>
  </si>
  <si>
    <t>SENIOR BUDGET ANALYST</t>
  </si>
  <si>
    <t>FINANCIAL ANALYST</t>
  </si>
  <si>
    <t>OPERATIONS SUPERVISOR</t>
  </si>
  <si>
    <t>RECREATION SUPERVISOR</t>
  </si>
  <si>
    <t>TRANSPORTATION ANALYST</t>
  </si>
  <si>
    <t>RISK MANAGEMENT SPECIALIST</t>
  </si>
  <si>
    <t>COMMUNITY RELATIONS COORDINATOR</t>
  </si>
  <si>
    <t>HUMAN SERVICES COORDINATOR</t>
  </si>
  <si>
    <t>ENGINEER, TRANSPORTATION</t>
  </si>
  <si>
    <t>ENGINEER, UTILITIES</t>
  </si>
  <si>
    <t>PUBLIC RECORDS MANAGER</t>
  </si>
  <si>
    <t>UTILITIES SUPERINTENDENT</t>
  </si>
  <si>
    <t>FACILITIES PLANNING COORDINATOR</t>
  </si>
  <si>
    <t>COMMUNICATIONS SUPERVISOR</t>
  </si>
  <si>
    <t>PROFESSIONAL LAND SURVEYOR</t>
  </si>
  <si>
    <t>FINANCE DIVISION ASSISTANT MANAGER</t>
  </si>
  <si>
    <t>SENIOR FACILITIES PLANNING COORDINATOR</t>
  </si>
  <si>
    <t>COMMUNITY SERVICES SUPERVISOR</t>
  </si>
  <si>
    <t>DEPARTMENT PUBLIC INFORMATION OFFICER</t>
  </si>
  <si>
    <t>G26</t>
  </si>
  <si>
    <t>PROGRAM MANAGER</t>
  </si>
  <si>
    <t>HUMAN SERVICES MANAGER</t>
  </si>
  <si>
    <t>ASSISTANT FIRE MARSHAL</t>
  </si>
  <si>
    <t>PLANS EXAMINATION SUPERVISOR</t>
  </si>
  <si>
    <t>RIGHT OF WAY SUPERVISOR</t>
  </si>
  <si>
    <t>SENIOR LAND USE PROFESSIONAL</t>
  </si>
  <si>
    <t>SENIOR ENGINEER, TRANSPORTATION</t>
  </si>
  <si>
    <t>SENIOR ENGINEER, UTILITIES</t>
  </si>
  <si>
    <t>WATER QUALITY SUPERVISOR</t>
  </si>
  <si>
    <t>OPERATIONS MANAGER</t>
  </si>
  <si>
    <t>ENGINEERING SUPERVISOR, UTILITIES</t>
  </si>
  <si>
    <t>BUSINESS MANAGER</t>
  </si>
  <si>
    <t>COMPENSATION &amp; BENEFITS MANAGER</t>
  </si>
  <si>
    <t>FINANCE DIVISION MANAGER</t>
  </si>
  <si>
    <t>FACILITIES PLANNING MANAGER</t>
  </si>
  <si>
    <t>PLANNING MANAGER</t>
  </si>
  <si>
    <t>TRANSPORTATION FORECASTING MANAGER</t>
  </si>
  <si>
    <t>UTILITIES POLICY ADVISOR</t>
  </si>
  <si>
    <t>TRANSPORTATION POLICY ADVISOR</t>
  </si>
  <si>
    <t>COMMUNICATIONS MANAGER</t>
  </si>
  <si>
    <t>ENGINEERING MANAGER, TRANSPORTATION</t>
  </si>
  <si>
    <t>ENGINEERING MANAGER, UTILITIES</t>
  </si>
  <si>
    <t>CONSULTING ATTORNEY</t>
  </si>
  <si>
    <t>SENIOR ATTORNEY</t>
  </si>
  <si>
    <t>M01</t>
  </si>
  <si>
    <t>M02</t>
  </si>
  <si>
    <t>CHIEF OF POLICE</t>
  </si>
  <si>
    <t>G10</t>
  </si>
  <si>
    <t>G07</t>
  </si>
  <si>
    <t>G08</t>
  </si>
  <si>
    <t>G09</t>
  </si>
  <si>
    <t>RECREATION PROGRAM AIDE</t>
  </si>
  <si>
    <t>S24</t>
  </si>
  <si>
    <t>S25</t>
  </si>
  <si>
    <t>OFFICE CLERK</t>
  </si>
  <si>
    <t>ANG301</t>
  </si>
  <si>
    <t>ANG607</t>
  </si>
  <si>
    <t>ENG301</t>
  </si>
  <si>
    <t>RNG801</t>
  </si>
  <si>
    <t>ANG302</t>
  </si>
  <si>
    <t>RNG301</t>
  </si>
  <si>
    <t>ANG605</t>
  </si>
  <si>
    <t>ANG303</t>
  </si>
  <si>
    <t>BNG601</t>
  </si>
  <si>
    <t>BNG501</t>
  </si>
  <si>
    <t>ANG501</t>
  </si>
  <si>
    <t>ANG606</t>
  </si>
  <si>
    <t>DNG502</t>
  </si>
  <si>
    <t>BNG502</t>
  </si>
  <si>
    <t>ANG601</t>
  </si>
  <si>
    <t>HNG501</t>
  </si>
  <si>
    <t>LNG601</t>
  </si>
  <si>
    <t>ENG305</t>
  </si>
  <si>
    <t>ANG504</t>
  </si>
  <si>
    <t>ANG602</t>
  </si>
  <si>
    <t>RNG211</t>
  </si>
  <si>
    <t>DNG501</t>
  </si>
  <si>
    <t>DNG503</t>
  </si>
  <si>
    <t>BNG503</t>
  </si>
  <si>
    <t>ING301</t>
  </si>
  <si>
    <t>SNG201</t>
  </si>
  <si>
    <t>ENG302</t>
  </si>
  <si>
    <t>ANG502</t>
  </si>
  <si>
    <t>ANG503</t>
  </si>
  <si>
    <t>LNG204</t>
  </si>
  <si>
    <t>BNG504</t>
  </si>
  <si>
    <t>BNG203</t>
  </si>
  <si>
    <t>HNG203</t>
  </si>
  <si>
    <t>SNG203</t>
  </si>
  <si>
    <t>ENG306</t>
  </si>
  <si>
    <t>ANG202</t>
  </si>
  <si>
    <t>GNG202</t>
  </si>
  <si>
    <t>ANG206</t>
  </si>
  <si>
    <t>ANG207</t>
  </si>
  <si>
    <t>RNG207</t>
  </si>
  <si>
    <t>PNG301</t>
  </si>
  <si>
    <t>DNG215</t>
  </si>
  <si>
    <t>RNG209</t>
  </si>
  <si>
    <t>GNG207</t>
  </si>
  <si>
    <t>BNG202</t>
  </si>
  <si>
    <t>DNG209</t>
  </si>
  <si>
    <t>DNG211</t>
  </si>
  <si>
    <t>HNG201</t>
  </si>
  <si>
    <t>ING201</t>
  </si>
  <si>
    <t>JNG301</t>
  </si>
  <si>
    <t>GNG201</t>
  </si>
  <si>
    <t>RNG203</t>
  </si>
  <si>
    <t>JNG302</t>
  </si>
  <si>
    <t>ANG203</t>
  </si>
  <si>
    <t>ANG205</t>
  </si>
  <si>
    <t>BNG208</t>
  </si>
  <si>
    <t>FNG301</t>
  </si>
  <si>
    <t>DNG207</t>
  </si>
  <si>
    <t>MNG204</t>
  </si>
  <si>
    <t>PNS202</t>
  </si>
  <si>
    <t>SNG204</t>
  </si>
  <si>
    <t>ANG208</t>
  </si>
  <si>
    <t>RNG210</t>
  </si>
  <si>
    <t>BNG204</t>
  </si>
  <si>
    <t>ENG208</t>
  </si>
  <si>
    <t>ENG308</t>
  </si>
  <si>
    <t>DNG218</t>
  </si>
  <si>
    <t>LNG201</t>
  </si>
  <si>
    <t>PNS201</t>
  </si>
  <si>
    <t>ENG201</t>
  </si>
  <si>
    <t>ENG203</t>
  </si>
  <si>
    <t>DNG204</t>
  </si>
  <si>
    <t>ANG210</t>
  </si>
  <si>
    <t>ENG307</t>
  </si>
  <si>
    <t>ING211</t>
  </si>
  <si>
    <t>MNG207</t>
  </si>
  <si>
    <t>DNG201</t>
  </si>
  <si>
    <t>RNG204</t>
  </si>
  <si>
    <t>GNG205</t>
  </si>
  <si>
    <t>BNG206</t>
  </si>
  <si>
    <t>ENG304</t>
  </si>
  <si>
    <t>DNG205</t>
  </si>
  <si>
    <t>FNG201</t>
  </si>
  <si>
    <t>JNG201</t>
  </si>
  <si>
    <t>ENG303</t>
  </si>
  <si>
    <t>DNG208</t>
  </si>
  <si>
    <t>JNG202</t>
  </si>
  <si>
    <t>JNG203</t>
  </si>
  <si>
    <t>ANG209</t>
  </si>
  <si>
    <t>DNG217</t>
  </si>
  <si>
    <t>DNG210</t>
  </si>
  <si>
    <t>DNG212</t>
  </si>
  <si>
    <t>DNG216</t>
  </si>
  <si>
    <t>ANG201</t>
  </si>
  <si>
    <t>ENG202</t>
  </si>
  <si>
    <t>ENG204</t>
  </si>
  <si>
    <t>HNG205</t>
  </si>
  <si>
    <t>ENG211</t>
  </si>
  <si>
    <t>LNG202</t>
  </si>
  <si>
    <t>MNG201</t>
  </si>
  <si>
    <t>MNG203</t>
  </si>
  <si>
    <t>RNG208</t>
  </si>
  <si>
    <t>ENG210</t>
  </si>
  <si>
    <t>BNG205</t>
  </si>
  <si>
    <t>DNG202</t>
  </si>
  <si>
    <t>HNG202</t>
  </si>
  <si>
    <t>ENG207</t>
  </si>
  <si>
    <t>DNG206</t>
  </si>
  <si>
    <t>BNG207</t>
  </si>
  <si>
    <t>BNG210</t>
  </si>
  <si>
    <t>MNG205</t>
  </si>
  <si>
    <t>DNG213</t>
  </si>
  <si>
    <t>GNG204</t>
  </si>
  <si>
    <t>PNG202</t>
  </si>
  <si>
    <t>ING209</t>
  </si>
  <si>
    <t>DNG219</t>
  </si>
  <si>
    <t>DNG220</t>
  </si>
  <si>
    <t>DNG221</t>
  </si>
  <si>
    <t>LNG203</t>
  </si>
  <si>
    <t>ENG205</t>
  </si>
  <si>
    <t>ENG206</t>
  </si>
  <si>
    <t>LNG205</t>
  </si>
  <si>
    <t>ING208</t>
  </si>
  <si>
    <t>MRB704</t>
  </si>
  <si>
    <t>MRB801</t>
  </si>
  <si>
    <t>MRB804</t>
  </si>
  <si>
    <t>MRB805</t>
  </si>
  <si>
    <t>MRB802</t>
  </si>
  <si>
    <t>MRB806</t>
  </si>
  <si>
    <t>MRB706</t>
  </si>
  <si>
    <t>MRB707</t>
  </si>
  <si>
    <t>MRB803</t>
  </si>
  <si>
    <t>MRB702</t>
  </si>
  <si>
    <t>MRB708</t>
  </si>
  <si>
    <t>MRB709</t>
  </si>
  <si>
    <t>MRB703</t>
  </si>
  <si>
    <t>MRB705</t>
  </si>
  <si>
    <t>MRB701</t>
  </si>
  <si>
    <t>CNC101</t>
  </si>
  <si>
    <t>CNC103</t>
  </si>
  <si>
    <t>CNC102</t>
  </si>
  <si>
    <t>PRD609</t>
  </si>
  <si>
    <t>PRD603</t>
  </si>
  <si>
    <t>PRD401</t>
  </si>
  <si>
    <t>PRD604</t>
  </si>
  <si>
    <t>PRD610</t>
  </si>
  <si>
    <t>PRD602</t>
  </si>
  <si>
    <t>PRD201</t>
  </si>
  <si>
    <t>PRD301</t>
  </si>
  <si>
    <t>INE101</t>
  </si>
  <si>
    <t>RNE101</t>
  </si>
  <si>
    <t>PNE101</t>
  </si>
  <si>
    <t>LNE101</t>
  </si>
  <si>
    <t>BNE101</t>
  </si>
  <si>
    <t>DNE101</t>
  </si>
  <si>
    <t>ENE101</t>
  </si>
  <si>
    <t>ENE102</t>
  </si>
  <si>
    <t>FNE101</t>
  </si>
  <si>
    <t>XNE102</t>
  </si>
  <si>
    <t>FRF401</t>
  </si>
  <si>
    <t>FRF403</t>
  </si>
  <si>
    <t>FRF402</t>
  </si>
  <si>
    <t>FRF405</t>
  </si>
  <si>
    <t>FRF201</t>
  </si>
  <si>
    <t>FRF404</t>
  </si>
  <si>
    <t>FRF202</t>
  </si>
  <si>
    <t>JRH201</t>
  </si>
  <si>
    <t>JRH302</t>
  </si>
  <si>
    <t>JRH301</t>
  </si>
  <si>
    <t>JRH303</t>
  </si>
  <si>
    <t>JRH202</t>
  </si>
  <si>
    <t>MRI302</t>
  </si>
  <si>
    <t>MRI701</t>
  </si>
  <si>
    <t>MRI801</t>
  </si>
  <si>
    <t>MRI301</t>
  </si>
  <si>
    <t>MRI303</t>
  </si>
  <si>
    <t>MRI702</t>
  </si>
  <si>
    <t>PRJ201</t>
  </si>
  <si>
    <t>PRJ202</t>
  </si>
  <si>
    <t>FNL201</t>
  </si>
  <si>
    <t>FNU201</t>
  </si>
  <si>
    <t>FRN401</t>
  </si>
  <si>
    <t>FRN402</t>
  </si>
  <si>
    <t>XNE101</t>
  </si>
  <si>
    <t>PRP402</t>
  </si>
  <si>
    <t>PRP401</t>
  </si>
  <si>
    <t>BNM201</t>
  </si>
  <si>
    <t>RNM201</t>
  </si>
  <si>
    <t>DNM201</t>
  </si>
  <si>
    <t>ENM201</t>
  </si>
  <si>
    <t>ENM202</t>
  </si>
  <si>
    <t>INM201</t>
  </si>
  <si>
    <t>LNM201</t>
  </si>
  <si>
    <t>ENM203</t>
  </si>
  <si>
    <t>FNM201</t>
  </si>
  <si>
    <t>PNM201</t>
  </si>
  <si>
    <t>LNM202</t>
  </si>
  <si>
    <t>RNR701</t>
  </si>
  <si>
    <t>RNR702</t>
  </si>
  <si>
    <t>RNR703</t>
  </si>
  <si>
    <t>MIN</t>
  </si>
  <si>
    <t>MAX</t>
  </si>
  <si>
    <t>MID</t>
  </si>
  <si>
    <t>RNG303</t>
  </si>
  <si>
    <t>RECREATION PROGRAM TECHNICIAN</t>
  </si>
  <si>
    <t>HOME LOAN REPAIR SPECIALIST</t>
  </si>
  <si>
    <t>RNG503</t>
  </si>
  <si>
    <t>HNE101</t>
  </si>
  <si>
    <t>BUSINESS PROCESS ANALYST</t>
  </si>
  <si>
    <t>FACILITIES MANAGER</t>
  </si>
  <si>
    <t>N/A</t>
  </si>
  <si>
    <t>SNG202</t>
  </si>
  <si>
    <t>MNG701</t>
  </si>
  <si>
    <t>U01</t>
  </si>
  <si>
    <t>I01</t>
  </si>
  <si>
    <t>I02</t>
  </si>
  <si>
    <t>I03</t>
  </si>
  <si>
    <t>I04</t>
  </si>
  <si>
    <t>I05</t>
  </si>
  <si>
    <t>MRI304</t>
  </si>
  <si>
    <t>MRI305</t>
  </si>
  <si>
    <t>I06</t>
  </si>
  <si>
    <t>MASTER SIGNAL ELECTRICIAN</t>
  </si>
  <si>
    <t>HUMAN RESOURCES ANALYST</t>
  </si>
  <si>
    <t>HNG206</t>
  </si>
  <si>
    <t>SENIOR HUMAN RESOURCES ANALYST</t>
  </si>
  <si>
    <t>D21</t>
  </si>
  <si>
    <t>D25</t>
  </si>
  <si>
    <t>D26</t>
  </si>
  <si>
    <t>D28</t>
  </si>
  <si>
    <t>SENIOR FINANCIAL ANALYST</t>
  </si>
  <si>
    <t>BNG212</t>
  </si>
  <si>
    <t>ANG211</t>
  </si>
  <si>
    <t>ANG212</t>
  </si>
  <si>
    <t>ASSISTANT TO THE CITY MANAGER</t>
  </si>
  <si>
    <t>PNG302</t>
  </si>
  <si>
    <t>SENIOR CONSTRUCTION PROJECT INSPECTOR</t>
  </si>
  <si>
    <t>JNG303</t>
  </si>
  <si>
    <t>CONSTRUCTION PROJECT INSPECTOR</t>
  </si>
  <si>
    <t>F07</t>
  </si>
  <si>
    <t>C01</t>
  </si>
  <si>
    <t>C02</t>
  </si>
  <si>
    <t>DNG222</t>
  </si>
  <si>
    <t>COMMUNITY DEVELOPMENT MANAGER</t>
  </si>
  <si>
    <t>F02</t>
  </si>
  <si>
    <t>F04</t>
  </si>
  <si>
    <t>F05</t>
  </si>
  <si>
    <t>F06</t>
  </si>
  <si>
    <t>B29</t>
  </si>
  <si>
    <t>B30</t>
  </si>
  <si>
    <t>B31</t>
  </si>
  <si>
    <t>B32</t>
  </si>
  <si>
    <t>B34</t>
  </si>
  <si>
    <t>B35</t>
  </si>
  <si>
    <t>B38</t>
  </si>
  <si>
    <t>B39</t>
  </si>
  <si>
    <t>D22</t>
  </si>
  <si>
    <t>D23</t>
  </si>
  <si>
    <t>D27</t>
  </si>
  <si>
    <t>D29</t>
  </si>
  <si>
    <t>D30</t>
  </si>
  <si>
    <t>D31</t>
  </si>
  <si>
    <t>PRD304</t>
  </si>
  <si>
    <t>FIRE FIGHTER</t>
  </si>
  <si>
    <t>FIRE FIGHTER/ENGINEER</t>
  </si>
  <si>
    <t>FIRE FIGHTER/PARAMEDIC</t>
  </si>
  <si>
    <t>FIRE LIEUTENANT</t>
  </si>
  <si>
    <t>FIRE LIEUTENANT (MSO)</t>
  </si>
  <si>
    <t>FIRE CAPTAIN</t>
  </si>
  <si>
    <t>FIRE CAPTAIN (MSO)</t>
  </si>
  <si>
    <t>SIGNAL ASSISTANT</t>
  </si>
  <si>
    <t>SIGNAL REPAIR SPECIALIST</t>
  </si>
  <si>
    <t>ELECTRONICS TECHNICIAN</t>
  </si>
  <si>
    <t>MASTER ELECTRONICS TECHNICIAN</t>
  </si>
  <si>
    <t>1/2</t>
  </si>
  <si>
    <t>2/3</t>
  </si>
  <si>
    <t>3/4</t>
  </si>
  <si>
    <t>4/5</t>
  </si>
  <si>
    <t>5/6</t>
  </si>
  <si>
    <t>STEP WIDTH</t>
  </si>
  <si>
    <t>RANGE WIDTH</t>
  </si>
  <si>
    <t>RANGE INTERVAL</t>
  </si>
  <si>
    <t>FIXED RATE</t>
  </si>
  <si>
    <t>FRN201</t>
  </si>
  <si>
    <t>FRN403</t>
  </si>
  <si>
    <t>MIN/MID</t>
  </si>
  <si>
    <t>MID/MAX</t>
  </si>
  <si>
    <t>NEIGHBOORHOOD PROGRAM MANAGER</t>
  </si>
  <si>
    <t>CODE</t>
  </si>
  <si>
    <t>ABBREV</t>
  </si>
  <si>
    <t>FULL NAME</t>
  </si>
  <si>
    <t>% OF TOP STEP OFFICER</t>
  </si>
  <si>
    <t>% OF BASE WAGE</t>
  </si>
  <si>
    <t>STEP 1</t>
  </si>
  <si>
    <t>STEP 2</t>
  </si>
  <si>
    <t>STEP 3</t>
  </si>
  <si>
    <t>STEP 4</t>
  </si>
  <si>
    <t>STEP 5</t>
  </si>
  <si>
    <t>FIRE LT PREMIUM AMT</t>
  </si>
  <si>
    <t>FIRE CAPT PREMIUM AMT</t>
  </si>
  <si>
    <t>DNG223</t>
  </si>
  <si>
    <t>UTILITIES REVIEW PROFESSIONAL</t>
  </si>
  <si>
    <t>ADMINISTRATIVE SERVICES MANAGER</t>
  </si>
  <si>
    <t>GNG209</t>
  </si>
  <si>
    <t>D40</t>
  </si>
  <si>
    <t>CAPITAL PROJECT COORDINATOR</t>
  </si>
  <si>
    <t>CAPITAL PROJECT MANAGER</t>
  </si>
  <si>
    <t>ASST MECHANICAL SVCS TECH</t>
  </si>
  <si>
    <t>MECHANICAL SERVICES TECH</t>
  </si>
  <si>
    <t>LEAD MECHANICAL SVCS TECH</t>
  </si>
  <si>
    <t>TRAINING &amp; ORGANIZATION DEVELOPMENT COORD</t>
  </si>
  <si>
    <t>ASST ELECTRONIC COMMCTNS TECH</t>
  </si>
  <si>
    <t>ASST DIR, PARKS &amp; COMMUNITY SERVICES</t>
  </si>
  <si>
    <t>ASST CITY MGR, ADMIN &amp; COUNCIL SUPPORT</t>
  </si>
  <si>
    <t>ASST DIR, PLANNING &amp; COMMUNITY DEVLPMNT</t>
  </si>
  <si>
    <t>ELECTRONIC HOME DETENTION COORDINATOR</t>
  </si>
  <si>
    <t>EMERGENCY PREPAREDNESS COORDINATOR</t>
  </si>
  <si>
    <t>COMMUNITY SERVICES PROGRAM COORDINATOR</t>
  </si>
  <si>
    <t>PROBATION DIVISION ASSISTANT MANAGER</t>
  </si>
  <si>
    <t>POLICE OFFICER PREMIUM AMT</t>
  </si>
  <si>
    <t>HUMAN RESOURCES PROGRAM ADMINISTRATOR</t>
  </si>
  <si>
    <t>HNG207</t>
  </si>
  <si>
    <t>RETIREMENT SERVICES MANAGER</t>
  </si>
  <si>
    <t>ING214</t>
  </si>
  <si>
    <t>ERP PROJECT SUPERVISOR</t>
  </si>
  <si>
    <t>INFORMATION TECHNOLOGY SUPERVISOR</t>
  </si>
  <si>
    <t>INFORMATION TECHNOLOGY MANAGER</t>
  </si>
  <si>
    <t>HNM201</t>
  </si>
  <si>
    <t>DIRECTOR, FINANCE</t>
  </si>
  <si>
    <t>DIRECTOR, HUMAN RESOURCES</t>
  </si>
  <si>
    <t>DIRECTOR, PARKS &amp; COMMUNITY SERVICES</t>
  </si>
  <si>
    <t>DIRECTOR, PLANNING &amp; COMMUNITY DEVELOPMENT</t>
  </si>
  <si>
    <t>DIRECTOR, TRANSPORTATION</t>
  </si>
  <si>
    <t>DIRECTOR, UTILITIES</t>
  </si>
  <si>
    <t>PARKS &amp; COMMUNITY SERVICES MANAGER</t>
  </si>
  <si>
    <t>D41</t>
  </si>
  <si>
    <t>+</t>
  </si>
  <si>
    <t>WORKING CHIEF</t>
  </si>
  <si>
    <t>G12</t>
  </si>
  <si>
    <t>ING217</t>
  </si>
  <si>
    <t>D20</t>
  </si>
  <si>
    <t>D24</t>
  </si>
  <si>
    <t>CUSTODIAN</t>
  </si>
  <si>
    <t>STEP 6</t>
  </si>
  <si>
    <t>PRD607</t>
  </si>
  <si>
    <t>PRD605</t>
  </si>
  <si>
    <t>BNG213</t>
  </si>
  <si>
    <t>PERFORMANCE &amp; OUTREACH COORDINATOR</t>
  </si>
  <si>
    <t>ANNUAL</t>
  </si>
  <si>
    <t>G02</t>
  </si>
  <si>
    <t>G03</t>
  </si>
  <si>
    <t>G04</t>
  </si>
  <si>
    <t>G05</t>
  </si>
  <si>
    <t>G06</t>
  </si>
  <si>
    <t>G11</t>
  </si>
  <si>
    <t>G15</t>
  </si>
  <si>
    <t>G17</t>
  </si>
  <si>
    <t>FIRE LIEUTENANT (ADMINISTRATIVE)</t>
  </si>
  <si>
    <t>FIRE CAPTAIN (ADMINISTRATIVE)</t>
  </si>
  <si>
    <t>FIREFIGHTER PREMIUM AMT</t>
  </si>
  <si>
    <t>FIREFIGHTER/ENGINEER PREMIUM AMT</t>
  </si>
  <si>
    <t>FIREFIGHTER/PARAMEDIC PREMIUM AMT</t>
  </si>
  <si>
    <t>FIRE LT- ADMIN + MSO PREMIUM AMT</t>
  </si>
  <si>
    <t>FIRE CAPT- ADMIN + MSO PREMIUM AMT</t>
  </si>
  <si>
    <t>GRANT ADMINISTRATOR</t>
  </si>
  <si>
    <t>MNG202</t>
  </si>
  <si>
    <t>GOLF COURSE MAINTENANCE SUPERINTENDENT</t>
  </si>
  <si>
    <t>ENG212</t>
  </si>
  <si>
    <t>ASST DIR, INFORMATION TECHNOLOGY</t>
  </si>
  <si>
    <t>ASST DIR, UTILITIES</t>
  </si>
  <si>
    <t>ASST DIR, TRANSPORTATION</t>
  </si>
  <si>
    <t>ASST DIR, HUMAN RESOURCES</t>
  </si>
  <si>
    <t>ASST DIR, FINANCE</t>
  </si>
  <si>
    <t>VS</t>
  </si>
  <si>
    <t>5% STEP WIDTH</t>
  </si>
  <si>
    <t>PREMIUM AMT</t>
  </si>
  <si>
    <t>% OF TOP STEP CAPTAIN</t>
  </si>
  <si>
    <t>SERVICE FIRST COORDINATOR</t>
  </si>
  <si>
    <t>PP- RNG</t>
  </si>
  <si>
    <t>FIRELONG</t>
  </si>
  <si>
    <t>FIREED</t>
  </si>
  <si>
    <t>EDPARAMEDIC</t>
  </si>
  <si>
    <t>Add to Pay HAZMAT Specialist</t>
  </si>
  <si>
    <t>ADDHAZMS</t>
  </si>
  <si>
    <t>Add to Pay HAZMAT Lead</t>
  </si>
  <si>
    <t>ADDHAZML</t>
  </si>
  <si>
    <t>Add to Pay Map Specialist</t>
  </si>
  <si>
    <t>ADDMAPSP</t>
  </si>
  <si>
    <t>Add to Pay Breathing App Spec</t>
  </si>
  <si>
    <t>ADDBTHAS</t>
  </si>
  <si>
    <t>Add to Pay Breathing App Lead</t>
  </si>
  <si>
    <t>ADDBTHAL</t>
  </si>
  <si>
    <t>Add to Pay Small Equip &amp; Hose</t>
  </si>
  <si>
    <t>ADDSEHSP</t>
  </si>
  <si>
    <t>Add to Pay Paramedic Trainee</t>
  </si>
  <si>
    <t>ADDPARAT</t>
  </si>
  <si>
    <t>ADDTRUCK</t>
  </si>
  <si>
    <t>% OF TOP STEP FF</t>
  </si>
  <si>
    <t>Add to Pay Truck</t>
  </si>
  <si>
    <t>PLONGED</t>
  </si>
  <si>
    <t>EDINCP @ 3.0%</t>
  </si>
  <si>
    <t>EDINCP @ 4.0%</t>
  </si>
  <si>
    <t>EDINCP @ 4.5%</t>
  </si>
  <si>
    <t>EDINCP @ 5.0%</t>
  </si>
  <si>
    <t>EDINCP @ 6.0%</t>
  </si>
  <si>
    <t>EDINCP @ 7.0%</t>
  </si>
  <si>
    <t>EDINCP @ 8.0%</t>
  </si>
  <si>
    <t>EDINCP @ 9.0%</t>
  </si>
  <si>
    <t>BPMA0105</t>
  </si>
  <si>
    <t>Education @ 6%</t>
  </si>
  <si>
    <t>Education @ 7%</t>
  </si>
  <si>
    <t>Education @ 8%</t>
  </si>
  <si>
    <t>Education @ 9%</t>
  </si>
  <si>
    <t>ADDLEADK</t>
  </si>
  <si>
    <t>POLICE CORPORAL</t>
  </si>
  <si>
    <t>PRP403</t>
  </si>
  <si>
    <t>P15</t>
  </si>
  <si>
    <t>PAY BAND</t>
  </si>
  <si>
    <t>B</t>
  </si>
  <si>
    <t>A</t>
  </si>
  <si>
    <t xml:space="preserve">DIRECTOR, INTERGOVERNMENTAL RELATIONS </t>
  </si>
  <si>
    <t>GNE101</t>
  </si>
  <si>
    <t>ANE101</t>
  </si>
  <si>
    <t>POLICE CORPORAL PREMIUM AMT</t>
  </si>
  <si>
    <t>ARO</t>
  </si>
  <si>
    <t>Accident Reconstructionist</t>
  </si>
  <si>
    <t>BIKE</t>
  </si>
  <si>
    <t>Bicycle</t>
  </si>
  <si>
    <t>BOMB</t>
  </si>
  <si>
    <t>Bomb</t>
  </si>
  <si>
    <t>DET</t>
  </si>
  <si>
    <t>Detective</t>
  </si>
  <si>
    <t>K-9</t>
  </si>
  <si>
    <t>Canine</t>
  </si>
  <si>
    <t>MOTORC</t>
  </si>
  <si>
    <t>Motorcycle</t>
  </si>
  <si>
    <t>PI OFF</t>
  </si>
  <si>
    <t>Public Information Officer</t>
  </si>
  <si>
    <t>FTO @ 4%</t>
  </si>
  <si>
    <t>Field Training Officer</t>
  </si>
  <si>
    <t>PSL</t>
  </si>
  <si>
    <t>Professional Standards</t>
  </si>
  <si>
    <t>GNG210</t>
  </si>
  <si>
    <t>LNG206</t>
  </si>
  <si>
    <t>FORENSIC LAB MANAGER</t>
  </si>
  <si>
    <t>ANG608</t>
  </si>
  <si>
    <t>RECREATION CENTER COORDINATOR</t>
  </si>
  <si>
    <t>MNG208</t>
  </si>
  <si>
    <t>DEPUTY FIRE/POLICE CHIEF PREMIUM PAYS</t>
  </si>
  <si>
    <t>Mrkt Add Pay</t>
  </si>
  <si>
    <t>Market Add-to-Pay</t>
  </si>
  <si>
    <t>GNG212</t>
  </si>
  <si>
    <t>FIRE EDUCATION COORDINATOR</t>
  </si>
  <si>
    <t>ENM204</t>
  </si>
  <si>
    <t>RNM202</t>
  </si>
  <si>
    <t>DEPUTY DIR, UTILITIES</t>
  </si>
  <si>
    <t>DEPUTY DIR, TRANSPORTATION</t>
  </si>
  <si>
    <t>DEPUTY DIR, PARKS &amp; COMMUNITY SERVICES</t>
  </si>
  <si>
    <t>UTILITIES ADMINISTRATION &amp; OPERATIONS MANAGER</t>
  </si>
  <si>
    <t>UTILITIES BILLING MANAGER</t>
  </si>
  <si>
    <t>ANG213</t>
  </si>
  <si>
    <t>MNG210</t>
  </si>
  <si>
    <t>FACILITIES OPERATIONS SUPERINTENDENT</t>
  </si>
  <si>
    <t>UTILITIES OPERATIONS &amp; MAINTENANCE MANAGER</t>
  </si>
  <si>
    <t>(E01)</t>
  </si>
  <si>
    <t>(E02)</t>
  </si>
  <si>
    <t>(E03)</t>
  </si>
  <si>
    <t>ANG609</t>
  </si>
  <si>
    <t>PUBLIC RECORDS MGMT SPECIALIST</t>
  </si>
  <si>
    <t>ANG214</t>
  </si>
  <si>
    <t>FRK303</t>
  </si>
  <si>
    <t>FIRE PREVENTION OFFICER</t>
  </si>
  <si>
    <t>FIRE PREVENTION OFFICER PREMIUM AMT</t>
  </si>
  <si>
    <t>A01</t>
  </si>
  <si>
    <t>MMG802</t>
  </si>
  <si>
    <t>MAINTENANCE AIDE 1 - PBM</t>
  </si>
  <si>
    <t>MPG802</t>
  </si>
  <si>
    <t>MAINTENANCE AIDE 1 - PBP</t>
  </si>
  <si>
    <t>A02</t>
  </si>
  <si>
    <t>MMG804</t>
  </si>
  <si>
    <t>MAINTENANCE AIDE 2 - PBM</t>
  </si>
  <si>
    <t>MPG804</t>
  </si>
  <si>
    <t>MAINTENANCE AIDE 2 - PBP</t>
  </si>
  <si>
    <t>PBM =</t>
  </si>
  <si>
    <t>Partially Benefited MEBT2</t>
  </si>
  <si>
    <t>PBP =</t>
  </si>
  <si>
    <t>Partially Benefited PERS</t>
  </si>
  <si>
    <t>B40</t>
  </si>
  <si>
    <t>B41</t>
  </si>
  <si>
    <t>MRB710</t>
  </si>
  <si>
    <t>LEAD WORKER - PROGRAMS</t>
  </si>
  <si>
    <t>B42</t>
  </si>
  <si>
    <t>MRB711</t>
  </si>
  <si>
    <t>CREW LEADER - TECH SPEC</t>
  </si>
  <si>
    <t>DNG225</t>
  </si>
  <si>
    <t>PRINCIPAL TRANSPORATION PLANNER</t>
  </si>
  <si>
    <t>FIRE FIGHTER/STAFF ASST</t>
  </si>
  <si>
    <t>FIRE FIGHTER/ADMIN</t>
  </si>
  <si>
    <t>FIRE FIGHTER/ENGINEER ADMIN</t>
  </si>
  <si>
    <t>110% OF TOP STEP FF</t>
  </si>
  <si>
    <t>115.5% OF TOP STEP FF</t>
  </si>
  <si>
    <t>FIRE FIGHTER/PARAMEDIC ADMIN</t>
  </si>
  <si>
    <t>126.5% OF TOP STEP FF</t>
  </si>
  <si>
    <t>FIRE LIEUTENANT/FIRE TRAINING</t>
  </si>
  <si>
    <t>FIRE LIEUTENANT/EMS TRAINING</t>
  </si>
  <si>
    <t>FIRE LIEUTENANT/COMMUNITY LIAISON</t>
  </si>
  <si>
    <t>139.15% OF TOP STEP FF</t>
  </si>
  <si>
    <t>EDINF @ 2.5 % (45 cdts)</t>
  </si>
  <si>
    <t>EDINF @ 3.5 % (AA)</t>
  </si>
  <si>
    <t>EDINF @ 4.0 % (BA)</t>
  </si>
  <si>
    <t>Longevity @ 1% (month 61)</t>
  </si>
  <si>
    <t>Longevity @ 2% (month 121)</t>
  </si>
  <si>
    <t>Longevity @ 4% (month 181)</t>
  </si>
  <si>
    <t>Longevity @ 5% (month 241)</t>
  </si>
  <si>
    <t>Longevity @ 6% (month 301)</t>
  </si>
  <si>
    <t>Longevity @ 7% (month 361)</t>
  </si>
  <si>
    <t>EDINF @ 2.5 % (45 cdt)</t>
  </si>
  <si>
    <t>EDINF @ 4.0 % (AA)</t>
  </si>
  <si>
    <t>EDINF @ 4.5 % (BA)</t>
  </si>
  <si>
    <t>EDINF @ 4.5 % (AA)</t>
  </si>
  <si>
    <t>EDINF @ 5.0 % (BA)</t>
  </si>
  <si>
    <t>106% of top step FF</t>
  </si>
  <si>
    <t>105% of top step FF</t>
  </si>
  <si>
    <t>115% of top step FF</t>
  </si>
  <si>
    <t>126.5% of top step FF</t>
  </si>
  <si>
    <t>139.15% of top step FF</t>
  </si>
  <si>
    <t>-</t>
  </si>
  <si>
    <t>N05</t>
  </si>
  <si>
    <t>N07</t>
  </si>
  <si>
    <t>E</t>
  </si>
  <si>
    <t>NE</t>
  </si>
  <si>
    <t>ING507</t>
  </si>
  <si>
    <t>IT CONTENT DEV/MULTIMEDIA 1</t>
  </si>
  <si>
    <t>ING505</t>
  </si>
  <si>
    <t>ING303</t>
  </si>
  <si>
    <t>IT NETWORK/SYSTEM ADMINISTRATOR 1</t>
  </si>
  <si>
    <t>ING506</t>
  </si>
  <si>
    <t>IT GEOGRAPHIC INFORMATION SYSTEMS 1</t>
  </si>
  <si>
    <t>ING251</t>
  </si>
  <si>
    <t>IT CONTENT DEV/MULTIMEDIA 2</t>
  </si>
  <si>
    <t>ING305</t>
  </si>
  <si>
    <t>IT END USER SUPPORT 1</t>
  </si>
  <si>
    <t>ING504</t>
  </si>
  <si>
    <t>IT TRAINER 1</t>
  </si>
  <si>
    <t>IT GEOGRAPHIC INFORMATION SYSTEMS 2</t>
  </si>
  <si>
    <t>ING248</t>
  </si>
  <si>
    <t>ING245</t>
  </si>
  <si>
    <t>IT PROJECT MANAGER 1</t>
  </si>
  <si>
    <t>ING241</t>
  </si>
  <si>
    <t>ING304</t>
  </si>
  <si>
    <t>IT END USER SUPPORT 2</t>
  </si>
  <si>
    <t>ING232</t>
  </si>
  <si>
    <t>IT NETWORK/SYSTEM ADMINISTRATOR 2</t>
  </si>
  <si>
    <t>ING228</t>
  </si>
  <si>
    <t>IT SYSTEMS ANALYST 1</t>
  </si>
  <si>
    <t>ING239</t>
  </si>
  <si>
    <t>IT TRAINER 2</t>
  </si>
  <si>
    <t>ING223</t>
  </si>
  <si>
    <t>IT APPLICATION DEVELOPER 1</t>
  </si>
  <si>
    <t>ING250</t>
  </si>
  <si>
    <t>IT CONTENT DEV/MULTIMEDIA 3</t>
  </si>
  <si>
    <t>ING235</t>
  </si>
  <si>
    <t>IT DATABASE ADMINSTRATOR 1</t>
  </si>
  <si>
    <t>ING244</t>
  </si>
  <si>
    <t>IT PROJECT MANAGER 2</t>
  </si>
  <si>
    <t>ING237</t>
  </si>
  <si>
    <t>IT END USER SUPPORT 3</t>
  </si>
  <si>
    <t>ING238</t>
  </si>
  <si>
    <t>IT TRAINER 3</t>
  </si>
  <si>
    <t>ING240</t>
  </si>
  <si>
    <t>ING247</t>
  </si>
  <si>
    <t>IT GEOGRAPHIC INFORMATION SYSTEMS 3</t>
  </si>
  <si>
    <t>ING227</t>
  </si>
  <si>
    <t>IT SYSTEMS ANALYST 2</t>
  </si>
  <si>
    <t>ING222</t>
  </si>
  <si>
    <t>IT APPLICATION DEVELOPER 2</t>
  </si>
  <si>
    <t>ING249</t>
  </si>
  <si>
    <t>IT CONTENT DEV/MULTIMEDIA 4A</t>
  </si>
  <si>
    <t>ING236</t>
  </si>
  <si>
    <t>IT END USER SUPPORT 4A</t>
  </si>
  <si>
    <t>ING246</t>
  </si>
  <si>
    <t>IT GEOGRAPHIC INFORMATION SYSTEMS 4A</t>
  </si>
  <si>
    <t>ING231</t>
  </si>
  <si>
    <t>IT NETWORK/SYSTEM ADMINISTRATOR 3</t>
  </si>
  <si>
    <t>ING234</t>
  </si>
  <si>
    <t>IT DATABASE ADMINSTRATOR 2</t>
  </si>
  <si>
    <t>ING243</t>
  </si>
  <si>
    <t>IT PROJECT MANAGER 3</t>
  </si>
  <si>
    <t>ING226</t>
  </si>
  <si>
    <t>IT SYSTEMS ANALYST 3</t>
  </si>
  <si>
    <t>ING221</t>
  </si>
  <si>
    <t>IT APPLICATION DEVELOPER 3</t>
  </si>
  <si>
    <t>ING225</t>
  </si>
  <si>
    <t>IT SYSTEMS ANALYST 4A</t>
  </si>
  <si>
    <t>ING220</t>
  </si>
  <si>
    <t>IT APPLICATION DEVELOPER 4A</t>
  </si>
  <si>
    <t>ING230</t>
  </si>
  <si>
    <t>ING233</t>
  </si>
  <si>
    <t>ING229</t>
  </si>
  <si>
    <t>IT NETWORK/SYSTEM ADMINISTRATOR 4B</t>
  </si>
  <si>
    <t>ING219</t>
  </si>
  <si>
    <t>IT APPLICATION DEVELOPER 4B</t>
  </si>
  <si>
    <t>ING242</t>
  </si>
  <si>
    <t>IT PROJECT MANAGER 4A</t>
  </si>
  <si>
    <t>ING224</t>
  </si>
  <si>
    <t>IT SYSTEMS ANALYST 4B</t>
  </si>
  <si>
    <t>IT DATABASE ADMINSTRATOR 3</t>
  </si>
  <si>
    <t>E / NE</t>
  </si>
  <si>
    <t>STEPS</t>
  </si>
  <si>
    <t>6+</t>
  </si>
  <si>
    <t>RANGE</t>
  </si>
  <si>
    <t>FIRE CAPTAIN (SUPPLY &amp; MAINT COORD</t>
  </si>
  <si>
    <t>POLICE CAPTAIN PREMIUM PAYS</t>
  </si>
  <si>
    <t>POLICE MAJOR PREMIUM PAYS</t>
  </si>
  <si>
    <t>% OF TOP STEP MAJOR</t>
  </si>
  <si>
    <t>Education @ 10%</t>
  </si>
  <si>
    <t>Longevity BPMA @ 11%</t>
  </si>
  <si>
    <t>IT NETWORK/SYSTEM ADMINISTRATOR 4A</t>
  </si>
  <si>
    <t>REGIONAL INFORMATION TECH PROJ MGR</t>
  </si>
  <si>
    <t>ENG213</t>
  </si>
  <si>
    <t>NEIGHBORHOOD TRANSPORTATION SVC MGR</t>
  </si>
  <si>
    <t>Longevity @ 9.5% 
(after 18 years)</t>
  </si>
  <si>
    <t>Longevity @ 10% 
(after 20 years)</t>
  </si>
  <si>
    <t>Longevity @ 11% 
(after 25 years)</t>
  </si>
  <si>
    <t>1028</t>
  </si>
  <si>
    <t>EDINCB</t>
  </si>
  <si>
    <t>LONGGB</t>
  </si>
  <si>
    <t>TBD</t>
  </si>
  <si>
    <t>D43</t>
  </si>
  <si>
    <t>POLICE SUPPORT INFO/TECH SPEC</t>
  </si>
  <si>
    <t>POLICE SUPPORT SPECIALIST</t>
  </si>
  <si>
    <t>LEAD POLICE SUPPORT SPECIALIST</t>
  </si>
  <si>
    <t>BNG215</t>
  </si>
  <si>
    <t>ANG216</t>
  </si>
  <si>
    <t>ING252</t>
  </si>
  <si>
    <t>BUSINESS SYSTEMS MANAGER</t>
  </si>
  <si>
    <t>STUDENT INTERN 1</t>
  </si>
  <si>
    <t>STUDENT INTERN 2</t>
  </si>
  <si>
    <t>STUDENT INTERN 3</t>
  </si>
  <si>
    <t>SURVEYOR 1</t>
  </si>
  <si>
    <t>SURVEYOR 2</t>
  </si>
  <si>
    <t>SURVEYOR 3</t>
  </si>
  <si>
    <t>ATTORNEY 1</t>
  </si>
  <si>
    <t>ATTORNEY 2</t>
  </si>
  <si>
    <t>RECREATION ASSISTANT 1</t>
  </si>
  <si>
    <t>RECREATION ASSISTANT 2</t>
  </si>
  <si>
    <t>RECREATION ASSISTANT 3</t>
  </si>
  <si>
    <t>STRUCTURAL MAINT SPEC 1</t>
  </si>
  <si>
    <t>INVENTORY SPECIALIST 1</t>
  </si>
  <si>
    <t>STRUCTURAL MAINT SPEC 2</t>
  </si>
  <si>
    <t>INVENTORY SPECIALIST 2</t>
  </si>
  <si>
    <t>DNG226</t>
  </si>
  <si>
    <t>DEVELOPMENT SVCS EDUCATION/TRAINING COORDINATOR</t>
  </si>
  <si>
    <t>ENG309</t>
  </si>
  <si>
    <t>SURVEY ASSISTANT</t>
  </si>
  <si>
    <t>LITIGATION SUPPORT SUPERVISOR</t>
  </si>
  <si>
    <t>LNG207</t>
  </si>
  <si>
    <t>Family</t>
  </si>
  <si>
    <t>Union/Non Union</t>
  </si>
  <si>
    <t>Pay Plan</t>
  </si>
  <si>
    <t>EEO</t>
  </si>
  <si>
    <t>Sq</t>
  </si>
  <si>
    <t>A = Administrative</t>
  </si>
  <si>
    <t>R=Rep</t>
  </si>
  <si>
    <t>N=Non Rep</t>
  </si>
  <si>
    <t>M= ?</t>
  </si>
  <si>
    <t>P= ?</t>
  </si>
  <si>
    <t>Self explanatory</t>
  </si>
  <si>
    <t>B = Finance</t>
  </si>
  <si>
    <t>C = Council</t>
  </si>
  <si>
    <t>D = Planning</t>
  </si>
  <si>
    <t>E = Engineering</t>
  </si>
  <si>
    <t>F = Fire</t>
  </si>
  <si>
    <t>G = Community / Government Relations</t>
  </si>
  <si>
    <t>H = Human Resources</t>
  </si>
  <si>
    <t>I = Information Technology</t>
  </si>
  <si>
    <t>J = Inspection and Code</t>
  </si>
  <si>
    <t>L = Legal</t>
  </si>
  <si>
    <t>M = Maintenance</t>
  </si>
  <si>
    <t>P = Police</t>
  </si>
  <si>
    <t>R = Parks</t>
  </si>
  <si>
    <t>S = Probation</t>
  </si>
  <si>
    <t>X = Executive</t>
  </si>
  <si>
    <t>Title Code Key:</t>
  </si>
  <si>
    <t>C</t>
  </si>
  <si>
    <t>A/B</t>
  </si>
  <si>
    <t>B/C</t>
  </si>
  <si>
    <t>PNG203</t>
  </si>
  <si>
    <t>POLICE SYSTEMS MANAGER</t>
  </si>
  <si>
    <t>DNG227</t>
  </si>
  <si>
    <t>PERMIT CENTER MANAGER</t>
  </si>
  <si>
    <t>DNE102</t>
  </si>
  <si>
    <t>DIRECTOR, DEVELOPMENT SERVICES</t>
  </si>
  <si>
    <t>MNE101</t>
  </si>
  <si>
    <t>DIRECTOR, CIVIC SERVICES</t>
  </si>
  <si>
    <t>JNG204</t>
  </si>
  <si>
    <t>INSPECTION SERVICES MANAGER</t>
  </si>
  <si>
    <t>GNG501</t>
  </si>
  <si>
    <t>EMERGENCY PREPAREDNESS PLANS COORDINATOR</t>
  </si>
  <si>
    <t>MANAGEMENT ASST TO THE DIRECTOR</t>
  </si>
  <si>
    <t>INM202</t>
  </si>
  <si>
    <t>EXEC DIR eCITY GOV ALLIANCE</t>
  </si>
  <si>
    <t>V01</t>
  </si>
  <si>
    <t xml:space="preserve">Longevity -completion of 15 years (mo 181) </t>
  </si>
  <si>
    <t xml:space="preserve">Longevity -completion of 20 years (mo 241) </t>
  </si>
  <si>
    <t xml:space="preserve">Longevity -completion of 25 years (mo 301) </t>
  </si>
  <si>
    <t xml:space="preserve">Longevity -completion of 30 years (mo 361) </t>
  </si>
  <si>
    <t>Longevity</t>
  </si>
  <si>
    <t>Longevity Pay Starts</t>
  </si>
  <si>
    <t>% of Monthly Salary</t>
  </si>
  <si>
    <t>Month 61</t>
  </si>
  <si>
    <t>Month 121</t>
  </si>
  <si>
    <t>Month 181</t>
  </si>
  <si>
    <t>Month 241</t>
  </si>
  <si>
    <t>Month 361</t>
  </si>
  <si>
    <t>10</t>
  </si>
  <si>
    <t>15</t>
  </si>
  <si>
    <t>20</t>
  </si>
  <si>
    <t>25</t>
  </si>
  <si>
    <t>30</t>
  </si>
  <si>
    <t>Month 301</t>
  </si>
  <si>
    <t>Longevity for Inspectors and Plans Examiners</t>
  </si>
  <si>
    <t>Completion 
of Years</t>
  </si>
  <si>
    <t>FNV201</t>
  </si>
  <si>
    <t>HNG208</t>
  </si>
  <si>
    <t>ORGANIZATION DEVELOPMENT CONSULTANT</t>
  </si>
  <si>
    <t>GNG203</t>
  </si>
  <si>
    <t>EMERGENCY PREPAREDNESS MANAGER</t>
  </si>
  <si>
    <t>DNG214</t>
  </si>
  <si>
    <t>REAL PROPERTY MANAGER</t>
  </si>
  <si>
    <t>DISPATCHER*</t>
  </si>
  <si>
    <t>LEAD DISPATCHER*</t>
  </si>
  <si>
    <t>GEOFILE TECHNICIAN*</t>
  </si>
  <si>
    <t>PUBLIC SAFETY APP ANALYST*</t>
  </si>
  <si>
    <t>*Positions discontinued effective July 1, 2009.</t>
  </si>
  <si>
    <t>POLICE DATA ANALYST</t>
  </si>
  <si>
    <t>Position discontinued eff 7/1/09</t>
  </si>
  <si>
    <t>FireIn L1-1%</t>
  </si>
  <si>
    <t>FireIn L1-2%</t>
  </si>
  <si>
    <t>FireIn L1-3%</t>
  </si>
  <si>
    <t>Certification Pay Matrix</t>
  </si>
  <si>
    <t>PRD622</t>
  </si>
  <si>
    <t>POLICE PERSONNEL SUPPORT SPECIALIST</t>
  </si>
  <si>
    <t>LNG208</t>
  </si>
  <si>
    <t>RISK MANAGER</t>
  </si>
  <si>
    <t>LONGBC@6%</t>
  </si>
  <si>
    <t>LONGBC@7%</t>
  </si>
  <si>
    <t>LONGBC@9%</t>
  </si>
  <si>
    <t>TECHNOLOGY BUSINESS ANALYST 1</t>
  </si>
  <si>
    <t>TECHNOLOGY BUSINESS ANALYST 2</t>
  </si>
  <si>
    <t>TECHNOLOGY BUSINESS ANALYST 3</t>
  </si>
  <si>
    <t>HNG209</t>
  </si>
  <si>
    <t>HUMAN RESOURCES DIVISION MANAGER</t>
  </si>
  <si>
    <t>MNM201</t>
  </si>
  <si>
    <t>ASST DIR, CIVIC SERVICES</t>
  </si>
  <si>
    <t>HNG210</t>
  </si>
  <si>
    <t>HUMAN RESOURCES MANAGER</t>
  </si>
  <si>
    <t>D44</t>
  </si>
  <si>
    <t>PRD305</t>
  </si>
  <si>
    <t>POLICE CRIME ANALYST</t>
  </si>
  <si>
    <t>ANG218</t>
  </si>
  <si>
    <t>ANG217</t>
  </si>
  <si>
    <t>2012 GSA</t>
  </si>
  <si>
    <t>Last salary update for below positions = 2009</t>
  </si>
  <si>
    <t>PUBLIC DISCLOSURE ANALYST</t>
  </si>
  <si>
    <t>Certified Fire Investigator Pay</t>
  </si>
  <si>
    <t>INVSG 3%-FPO</t>
  </si>
  <si>
    <t>Lead Fire Prevention Officer Premium*</t>
  </si>
  <si>
    <t>*Lead pay discontinued eff July 3, 2012</t>
  </si>
  <si>
    <t>FIRE BATTALION CHIEF - PLATOON</t>
  </si>
  <si>
    <t>FIRE BATTALION CHIEF - ADMINISTRATIVE</t>
  </si>
  <si>
    <t>Ranges below last updated with COLA in 2009</t>
  </si>
  <si>
    <t>2013 GSA</t>
  </si>
  <si>
    <t>BENEFITS SPECIALIST</t>
  </si>
  <si>
    <t>FISCAL LONG RANGE PLANNING ADMINISTRATOR</t>
  </si>
  <si>
    <t>Positions Discontinued</t>
  </si>
  <si>
    <t>HNG502</t>
  </si>
  <si>
    <t>REGIONAL TRANSPORTATION PROJECTS MGR</t>
  </si>
  <si>
    <t xml:space="preserve">ASST DIR, CITY CLERKS &amp; PUBLIC RECORDS </t>
  </si>
  <si>
    <t>ANM202</t>
  </si>
  <si>
    <t>DNG229</t>
  </si>
  <si>
    <t>SENIOR UTILITIES REVIEW PROFESSIONAL</t>
  </si>
  <si>
    <t>MNG211</t>
  </si>
  <si>
    <t>FLEET &amp; COMMUNICATIONS ADMINISTRATOR</t>
  </si>
  <si>
    <t>MNG212</t>
  </si>
  <si>
    <t>TRANSPORTATION OPERATIONS &amp; MAINTENANCE MGR</t>
  </si>
  <si>
    <t>ANG219</t>
  </si>
  <si>
    <t>SENIOR BUSINESS PROCESS ANALYST</t>
  </si>
  <si>
    <t>ENG215</t>
  </si>
  <si>
    <t>TRANSPORTATION STRATEGIC ENGINEERING ADVISOR</t>
  </si>
  <si>
    <t>ANG220</t>
  </si>
  <si>
    <t>MANAGEMENT FELLOW</t>
  </si>
  <si>
    <t>CHIEF COMMUNICATIONS OFFICER</t>
  </si>
  <si>
    <t>ANG221</t>
  </si>
  <si>
    <t>PARKS PROPERTY AND ACQUISITIONS MANAGER</t>
  </si>
  <si>
    <t>DNM203</t>
  </si>
  <si>
    <t>ASST DIR, DEVELOPMENT SERVICES</t>
  </si>
  <si>
    <t>DIGITAL COMMUNICATIONS COORDINATOR</t>
  </si>
  <si>
    <t>ENTERPRISE CONTENT BUSINESS ADMINISTRATOR</t>
  </si>
  <si>
    <t>ENTERPRISE CONTENT BUSINESS MANAGER</t>
  </si>
  <si>
    <t>CHIEF ECONOMIC DEVELOPMENT OFFICER</t>
  </si>
  <si>
    <t>LONGBC@12%</t>
  </si>
  <si>
    <t>LONGBC@10.5%</t>
  </si>
  <si>
    <t xml:space="preserve">Longevity -completion of 35 years (mo 421) </t>
  </si>
  <si>
    <t>LEGAL SECRETARY (D)**</t>
  </si>
  <si>
    <t>POLICE OPS SUPPORT SPEC**</t>
  </si>
  <si>
    <t>**Classification changed to Police Support Admin Asst eff early 2015</t>
  </si>
  <si>
    <t>POLICE SUPPORT ADMIN ASST</t>
  </si>
  <si>
    <t>ANG610</t>
  </si>
  <si>
    <t>ACCOUNT REPRESENTATIVE, UTILITY BILLING</t>
  </si>
  <si>
    <t>70% of journey</t>
  </si>
  <si>
    <t>80% of journey</t>
  </si>
  <si>
    <t>85% of journey</t>
  </si>
  <si>
    <t>JOURNEY</t>
  </si>
  <si>
    <t>109% of journey</t>
  </si>
  <si>
    <t>114% of journey</t>
  </si>
  <si>
    <t>D45</t>
  </si>
  <si>
    <t>PRD501</t>
  </si>
  <si>
    <t>D46</t>
  </si>
  <si>
    <t>PRD623</t>
  </si>
  <si>
    <t>n/a</t>
  </si>
  <si>
    <t>2016 GSA</t>
  </si>
  <si>
    <t>2015 rates shown until contract settlement. Labor agreement expires 12/31/15.</t>
  </si>
  <si>
    <t>2015 Firefighter 
Premium Pay Rates</t>
  </si>
  <si>
    <t>2016 FIRE BATTALION CHIEF PREMIUM PAYS</t>
  </si>
  <si>
    <t>ECONOMIC DEVELOPMENT MANAGER</t>
  </si>
  <si>
    <t>GNG211</t>
  </si>
  <si>
    <t>PERFORMANCE AND PROCESS ANALYST</t>
  </si>
  <si>
    <t>BUDGET DIVISION MANAGER</t>
  </si>
  <si>
    <t>PAVEMENT PROJECT MANAGER</t>
  </si>
  <si>
    <t>TRANSPORTATION CONSTRUCTION MGR</t>
  </si>
  <si>
    <t>NPDES PERMIT COORDINATOR</t>
  </si>
  <si>
    <t>ENG217</t>
  </si>
  <si>
    <t>BNG217</t>
  </si>
  <si>
    <t>GNG213</t>
  </si>
  <si>
    <t>ENG216</t>
  </si>
  <si>
    <t>GNG215</t>
  </si>
  <si>
    <t>GNG214</t>
  </si>
  <si>
    <t>DNG230</t>
  </si>
  <si>
    <t>MAINTENANCE AIDE 1-LTE
Limited Term Employee</t>
  </si>
  <si>
    <t>MAINTENANCE AIDE 2-LTE
Limited Term Employee</t>
  </si>
  <si>
    <t>CUSTODIAN LEAD</t>
  </si>
  <si>
    <t>B43</t>
  </si>
  <si>
    <t>MRB807</t>
  </si>
  <si>
    <t>B44</t>
  </si>
  <si>
    <t>MRB808</t>
  </si>
  <si>
    <t>AdvFirePlans</t>
  </si>
  <si>
    <t>Advanced Level Fire Plans Examination Pay*</t>
  </si>
  <si>
    <t>*Refer to A.7 of CBA for eligibility and max of 10% if receiving Certified Fire Investigator Pay.</t>
  </si>
  <si>
    <t>GNM203</t>
  </si>
  <si>
    <t xml:space="preserve">ASST DIR, INTERGOVERNMENTAL RELATIONS </t>
  </si>
  <si>
    <t>Salary Year</t>
  </si>
  <si>
    <t>Fire Inspector Level 1</t>
  </si>
  <si>
    <r>
      <rPr>
        <b/>
        <sz val="10"/>
        <rFont val="Arial"/>
        <family val="2"/>
      </rPr>
      <t>Fire Inspector Level 1</t>
    </r>
    <r>
      <rPr>
        <sz val="10"/>
        <rFont val="Arial"/>
        <family val="2"/>
      </rPr>
      <t xml:space="preserve">
11+ years / Begins month 133</t>
    </r>
  </si>
  <si>
    <r>
      <rPr>
        <b/>
        <sz val="10"/>
        <rFont val="Arial"/>
        <family val="2"/>
      </rPr>
      <t xml:space="preserve">Fire Inspector Level 1 </t>
    </r>
    <r>
      <rPr>
        <sz val="10"/>
        <rFont val="Arial"/>
        <family val="2"/>
      </rPr>
      <t xml:space="preserve">
6-10 years / Begins month 73</t>
    </r>
  </si>
  <si>
    <r>
      <t xml:space="preserve">Fire Inspector Level 1
</t>
    </r>
    <r>
      <rPr>
        <sz val="10"/>
        <rFont val="Arial"/>
        <family val="2"/>
      </rPr>
      <t>1-5 years / Begins month 13</t>
    </r>
  </si>
  <si>
    <t xml:space="preserve">1123
1132
</t>
  </si>
  <si>
    <t xml:space="preserve">FireIn L2-2%
FPEX - 2%
</t>
  </si>
  <si>
    <r>
      <rPr>
        <b/>
        <sz val="10"/>
        <rFont val="Arial"/>
        <family val="2"/>
      </rPr>
      <t xml:space="preserve">Fire Inspector Level 2 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OR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Fire Plans Examiner</t>
    </r>
    <r>
      <rPr>
        <sz val="10"/>
        <rFont val="Arial"/>
        <family val="2"/>
      </rPr>
      <t xml:space="preserve">
1-5 years / Begins month 13</t>
    </r>
  </si>
  <si>
    <t>Fire Inspector Level 2 OR Fire Plans Examiner</t>
  </si>
  <si>
    <t xml:space="preserve">1124
1133
</t>
  </si>
  <si>
    <t xml:space="preserve">FireIn L2-3%
FPEX - 3%
</t>
  </si>
  <si>
    <r>
      <t>Fire Inspector Level 2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OR 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Fire Plans Examiner</t>
    </r>
    <r>
      <rPr>
        <sz val="10"/>
        <rFont val="Arial"/>
        <family val="2"/>
      </rPr>
      <t xml:space="preserve">
6-10 years / Begins month 73</t>
    </r>
  </si>
  <si>
    <t xml:space="preserve">1125
1134
</t>
  </si>
  <si>
    <t xml:space="preserve">FireIn L2-4%
FPEX - 4%
</t>
  </si>
  <si>
    <r>
      <rPr>
        <b/>
        <sz val="10"/>
        <rFont val="Arial"/>
        <family val="2"/>
      </rPr>
      <t>Fire Inspector Level 2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OR</t>
    </r>
    <r>
      <rPr>
        <sz val="10"/>
        <rFont val="Arial"/>
        <family val="2"/>
      </rPr>
      <t xml:space="preserve"> 
</t>
    </r>
    <r>
      <rPr>
        <b/>
        <sz val="10"/>
        <rFont val="Arial"/>
        <family val="2"/>
      </rPr>
      <t>Fire Plans Examiner</t>
    </r>
    <r>
      <rPr>
        <sz val="10"/>
        <rFont val="Arial"/>
        <family val="2"/>
      </rPr>
      <t xml:space="preserve">
11+ years / Begins month 133</t>
    </r>
  </si>
  <si>
    <t xml:space="preserve">Advanced Plans Examination Pay </t>
  </si>
  <si>
    <t>POLICE SERGEANT*</t>
  </si>
  <si>
    <t>Hostage Negotiation Team</t>
  </si>
  <si>
    <t>HNT</t>
  </si>
  <si>
    <t>SWAT</t>
  </si>
  <si>
    <t>SWAT Team</t>
  </si>
  <si>
    <t>POLICE SERGEANT PREMIUM AMT</t>
  </si>
  <si>
    <t>*Effective August 2016, Police Lieutenant retitled to Police Sergeant</t>
  </si>
  <si>
    <t>REVIEW &amp; INSPECTION SUPERVISOR</t>
  </si>
  <si>
    <t>D</t>
  </si>
  <si>
    <t>C/D</t>
  </si>
  <si>
    <t>W01</t>
  </si>
  <si>
    <t>JRW201</t>
  </si>
  <si>
    <t>2017 COLA</t>
  </si>
  <si>
    <t>2017 Adj</t>
  </si>
  <si>
    <t>2017 GSA</t>
  </si>
  <si>
    <t>2017 1.8% +.75%</t>
  </si>
  <si>
    <t xml:space="preserve">2017 GSA </t>
  </si>
  <si>
    <t>Collective Bargaining Agreement Expires Dec. 31, 2016</t>
  </si>
  <si>
    <t>Bellevue Police Officer's Guild
2017</t>
  </si>
  <si>
    <t>ASSISTANT POLICE CHIEF</t>
  </si>
  <si>
    <t>SUPPORTED EMPLOYMENT AIDE</t>
  </si>
  <si>
    <t>ENGINEERING SUPERVISOR, TRANSPORTATION</t>
  </si>
  <si>
    <t>TELEMETRY TECHNICIAN LEAD</t>
  </si>
  <si>
    <t>ENG218</t>
  </si>
  <si>
    <t>ANG611</t>
  </si>
  <si>
    <t>ENG310</t>
  </si>
  <si>
    <t>MRB809</t>
  </si>
  <si>
    <t>B45</t>
  </si>
  <si>
    <t>ENG219</t>
  </si>
  <si>
    <t>RIGHT OF WAY MANAGER</t>
  </si>
  <si>
    <t>*Title change to Police Sergeant from Police Lieutenant eff Aug. 2016.</t>
  </si>
  <si>
    <t>ENG220</t>
  </si>
  <si>
    <t>SCADA &amp; OPERATIONS SUPERVISOR</t>
  </si>
  <si>
    <t>2017 CPI</t>
  </si>
  <si>
    <t>CPI + 3%</t>
  </si>
  <si>
    <t>PRD624</t>
  </si>
  <si>
    <t>POLICE DATA QUALITY SPECIALIST</t>
  </si>
  <si>
    <t>CPI + 1.0%</t>
  </si>
  <si>
    <t>PRD625</t>
  </si>
  <si>
    <t>LEAD POLICE  DATA QUALITY SPCLST</t>
  </si>
  <si>
    <t>PRD626</t>
  </si>
  <si>
    <t>POLICE PROPERTY EVIDENCE TECH</t>
  </si>
  <si>
    <t>POLICE SUPPORT SR ACCTG ASSC*</t>
  </si>
  <si>
    <t>PRD306</t>
  </si>
  <si>
    <t xml:space="preserve">*Effective Jan. 1, 2017 the Police Support Sr Acctg Assoc classification pay range change to D46.  </t>
  </si>
  <si>
    <t>Eff 2/1/17 PS Sr Acctg Assoc moved to d46 pay range w Admin asst</t>
  </si>
  <si>
    <t>POLICE FORENSIC TECHNICIAN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</si>
</sst>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_(&quot;$&quot;* #,##0_);_(&quot;$&quot;* \(#,##0\);_(&quot;$&quot;* &quot;-&quot;??_);_(@_)"/>
    <numFmt numFmtId="167" formatCode="0.0%"/>
    <numFmt numFmtId="168" formatCode="00"/>
    <numFmt numFmtId="169" formatCode="_(&quot;$&quot;* #,##0.0000_);_(&quot;$&quot;* \(#,##0.0000\);_(&quot;$&quot;* &quot;-&quot;??_);_(@_)"/>
    <numFmt numFmtId="170" formatCode="&quot;$&quot;#,##0.0000"/>
    <numFmt numFmtId="171" formatCode="0.000%"/>
    <numFmt numFmtId="172" formatCode="0.0000%"/>
    <numFmt numFmtId="173" formatCode="0.0000"/>
    <numFmt numFmtId="174" formatCode="&quot;$&quot;#,##0.0"/>
    <numFmt numFmtId="175" formatCode="0.000"/>
  </numFmts>
  <fonts count="3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Helv"/>
    </font>
    <font>
      <sz val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0"/>
      <color rgb="FFFF0000"/>
      <name val="Times New Roman"/>
      <family val="1"/>
    </font>
    <font>
      <strike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2"/>
      <color rgb="FFFF0000"/>
      <name val="Arial"/>
      <family val="2"/>
    </font>
    <font>
      <sz val="10"/>
      <color theme="5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5" fillId="0" borderId="0"/>
    <xf numFmtId="0" fontId="5" fillId="0" borderId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5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10" fontId="0" fillId="0" borderId="0" xfId="13" applyNumberFormat="1" applyFont="1" applyFill="1" applyAlignment="1">
      <alignment horizontal="center"/>
    </xf>
    <xf numFmtId="44" fontId="2" fillId="0" borderId="0" xfId="3" quotePrefix="1" applyFont="1" applyAlignment="1">
      <alignment horizontal="center" vertical="center"/>
    </xf>
    <xf numFmtId="0" fontId="3" fillId="0" borderId="0" xfId="11" applyFont="1"/>
    <xf numFmtId="0" fontId="3" fillId="0" borderId="1" xfId="11" applyFont="1" applyBorder="1" applyAlignment="1">
      <alignment horizontal="center"/>
    </xf>
    <xf numFmtId="0" fontId="3" fillId="0" borderId="1" xfId="11" quotePrefix="1" applyFont="1" applyBorder="1" applyAlignment="1">
      <alignment horizontal="left"/>
    </xf>
    <xf numFmtId="167" fontId="3" fillId="0" borderId="1" xfId="13" applyNumberFormat="1" applyFont="1" applyBorder="1" applyAlignment="1">
      <alignment horizontal="center"/>
    </xf>
    <xf numFmtId="0" fontId="3" fillId="0" borderId="2" xfId="11" applyFont="1" applyBorder="1" applyAlignment="1">
      <alignment horizontal="center" vertical="center"/>
    </xf>
    <xf numFmtId="167" fontId="3" fillId="0" borderId="2" xfId="13" applyNumberFormat="1" applyFont="1" applyBorder="1" applyAlignment="1">
      <alignment horizontal="center" vertical="center"/>
    </xf>
    <xf numFmtId="0" fontId="3" fillId="0" borderId="0" xfId="11" applyFont="1" applyAlignment="1">
      <alignment vertical="center"/>
    </xf>
    <xf numFmtId="0" fontId="3" fillId="0" borderId="3" xfId="11" applyFont="1" applyBorder="1" applyAlignment="1">
      <alignment horizontal="center"/>
    </xf>
    <xf numFmtId="0" fontId="3" fillId="0" borderId="3" xfId="11" applyFont="1" applyBorder="1" applyAlignment="1">
      <alignment horizontal="left"/>
    </xf>
    <xf numFmtId="0" fontId="3" fillId="0" borderId="3" xfId="11" quotePrefix="1" applyFont="1" applyBorder="1" applyAlignment="1">
      <alignment horizontal="left"/>
    </xf>
    <xf numFmtId="167" fontId="3" fillId="0" borderId="3" xfId="13" applyNumberFormat="1" applyFont="1" applyBorder="1" applyAlignment="1">
      <alignment horizontal="center"/>
    </xf>
    <xf numFmtId="0" fontId="3" fillId="0" borderId="0" xfId="11" applyFont="1" applyBorder="1" applyAlignment="1">
      <alignment horizontal="center"/>
    </xf>
    <xf numFmtId="0" fontId="3" fillId="0" borderId="0" xfId="11" quotePrefix="1" applyFont="1" applyBorder="1" applyAlignment="1">
      <alignment horizontal="left"/>
    </xf>
    <xf numFmtId="167" fontId="3" fillId="0" borderId="0" xfId="13" applyNumberFormat="1" applyFont="1" applyBorder="1" applyAlignment="1">
      <alignment horizontal="center"/>
    </xf>
    <xf numFmtId="44" fontId="3" fillId="0" borderId="0" xfId="3" applyFont="1" applyBorder="1"/>
    <xf numFmtId="0" fontId="3" fillId="0" borderId="0" xfId="11" applyFont="1" applyAlignment="1">
      <alignment horizontal="center"/>
    </xf>
    <xf numFmtId="167" fontId="3" fillId="0" borderId="0" xfId="13" applyNumberFormat="1" applyFont="1" applyAlignment="1">
      <alignment horizontal="center"/>
    </xf>
    <xf numFmtId="44" fontId="3" fillId="0" borderId="0" xfId="3" applyFont="1"/>
    <xf numFmtId="166" fontId="3" fillId="0" borderId="0" xfId="3" applyNumberFormat="1" applyFont="1"/>
    <xf numFmtId="0" fontId="2" fillId="0" borderId="4" xfId="11" applyFont="1" applyBorder="1" applyAlignment="1">
      <alignment horizontal="center" vertical="center"/>
    </xf>
    <xf numFmtId="167" fontId="2" fillId="0" borderId="4" xfId="13" quotePrefix="1" applyNumberFormat="1" applyFont="1" applyBorder="1" applyAlignment="1">
      <alignment horizontal="center" vertical="center" wrapText="1"/>
    </xf>
    <xf numFmtId="44" fontId="2" fillId="0" borderId="0" xfId="3" applyFont="1" applyBorder="1" applyAlignment="1">
      <alignment horizontal="center" vertical="center"/>
    </xf>
    <xf numFmtId="166" fontId="2" fillId="0" borderId="0" xfId="3" quotePrefix="1" applyNumberFormat="1" applyFont="1" applyAlignment="1">
      <alignment horizontal="center" vertical="center"/>
    </xf>
    <xf numFmtId="44" fontId="3" fillId="0" borderId="0" xfId="3" applyFont="1" applyBorder="1" applyAlignment="1">
      <alignment horizontal="center"/>
    </xf>
    <xf numFmtId="44" fontId="3" fillId="0" borderId="0" xfId="3" applyFont="1" applyBorder="1" applyAlignment="1">
      <alignment vertical="center"/>
    </xf>
    <xf numFmtId="166" fontId="3" fillId="0" borderId="0" xfId="3" applyNumberFormat="1" applyFont="1" applyAlignment="1">
      <alignment vertical="center"/>
    </xf>
    <xf numFmtId="0" fontId="3" fillId="0" borderId="0" xfId="11" applyFont="1" applyAlignment="1">
      <alignment horizontal="left"/>
    </xf>
    <xf numFmtId="44" fontId="2" fillId="0" borderId="0" xfId="3" quotePrefix="1" applyFont="1" applyBorder="1" applyAlignment="1">
      <alignment vertical="center"/>
    </xf>
    <xf numFmtId="0" fontId="2" fillId="0" borderId="0" xfId="11" applyFont="1" applyAlignment="1">
      <alignment horizontal="center"/>
    </xf>
    <xf numFmtId="44" fontId="3" fillId="0" borderId="0" xfId="3" applyNumberFormat="1" applyFont="1"/>
    <xf numFmtId="44" fontId="2" fillId="0" borderId="0" xfId="3" quotePrefix="1" applyFont="1" applyBorder="1" applyAlignment="1">
      <alignment horizontal="center" vertical="center"/>
    </xf>
    <xf numFmtId="0" fontId="3" fillId="0" borderId="0" xfId="11" applyFont="1" applyBorder="1"/>
    <xf numFmtId="167" fontId="3" fillId="0" borderId="0" xfId="13" applyNumberFormat="1" applyFont="1" applyBorder="1" applyAlignment="1">
      <alignment horizontal="center" vertical="center"/>
    </xf>
    <xf numFmtId="0" fontId="3" fillId="0" borderId="0" xfId="11" applyFont="1" applyBorder="1" applyAlignment="1">
      <alignment vertical="center"/>
    </xf>
    <xf numFmtId="44" fontId="3" fillId="0" borderId="0" xfId="3" applyFont="1" applyBorder="1" applyAlignment="1">
      <alignment horizontal="center" vertical="center"/>
    </xf>
    <xf numFmtId="0" fontId="3" fillId="0" borderId="2" xfId="11" applyFont="1" applyBorder="1" applyAlignment="1">
      <alignment horizontal="left" vertical="center" indent="1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44" fontId="3" fillId="0" borderId="0" xfId="3" applyFont="1" applyAlignment="1">
      <alignment vertical="center"/>
    </xf>
    <xf numFmtId="167" fontId="3" fillId="0" borderId="5" xfId="13" applyNumberFormat="1" applyFont="1" applyBorder="1" applyAlignment="1">
      <alignment horizontal="center" vertical="center"/>
    </xf>
    <xf numFmtId="44" fontId="3" fillId="0" borderId="0" xfId="3" applyFont="1" applyFill="1"/>
    <xf numFmtId="44" fontId="0" fillId="0" borderId="0" xfId="3" applyFont="1" applyAlignment="1">
      <alignment horizontal="center"/>
    </xf>
    <xf numFmtId="44" fontId="2" fillId="0" borderId="0" xfId="3" applyFont="1" applyAlignment="1">
      <alignment horizontal="center" wrapText="1"/>
    </xf>
    <xf numFmtId="0" fontId="10" fillId="0" borderId="4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1" fillId="0" borderId="0" xfId="6" applyFont="1" applyAlignment="1" applyProtection="1"/>
    <xf numFmtId="49" fontId="0" fillId="0" borderId="5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2" fillId="0" borderId="10" xfId="11" quotePrefix="1" applyFont="1" applyBorder="1" applyAlignment="1">
      <alignment horizontal="center" vertical="center"/>
    </xf>
    <xf numFmtId="0" fontId="2" fillId="0" borderId="11" xfId="11" applyFont="1" applyBorder="1" applyAlignment="1">
      <alignment horizontal="center" vertical="center"/>
    </xf>
    <xf numFmtId="167" fontId="2" fillId="0" borderId="11" xfId="13" applyNumberFormat="1" applyFont="1" applyBorder="1" applyAlignment="1">
      <alignment horizontal="center" vertical="center" wrapText="1"/>
    </xf>
    <xf numFmtId="44" fontId="2" fillId="0" borderId="12" xfId="3" applyFont="1" applyBorder="1" applyAlignment="1">
      <alignment horizontal="center" vertical="center" wrapText="1"/>
    </xf>
    <xf numFmtId="0" fontId="3" fillId="0" borderId="5" xfId="11" applyFont="1" applyBorder="1" applyAlignment="1">
      <alignment horizontal="center"/>
    </xf>
    <xf numFmtId="0" fontId="0" fillId="0" borderId="5" xfId="0" applyNumberFormat="1" applyBorder="1" applyAlignment="1">
      <alignment horizontal="center" vertical="center"/>
    </xf>
    <xf numFmtId="9" fontId="3" fillId="0" borderId="5" xfId="3" applyNumberFormat="1" applyFont="1" applyBorder="1" applyAlignment="1">
      <alignment horizontal="center" vertical="center"/>
    </xf>
    <xf numFmtId="0" fontId="3" fillId="0" borderId="13" xfId="11" applyFont="1" applyBorder="1" applyAlignment="1">
      <alignment horizontal="center"/>
    </xf>
    <xf numFmtId="167" fontId="3" fillId="0" borderId="13" xfId="13" applyNumberFormat="1" applyFont="1" applyBorder="1" applyAlignment="1">
      <alignment horizontal="center"/>
    </xf>
    <xf numFmtId="9" fontId="3" fillId="0" borderId="13" xfId="3" applyNumberFormat="1" applyFont="1" applyBorder="1" applyAlignment="1">
      <alignment horizontal="center"/>
    </xf>
    <xf numFmtId="0" fontId="2" fillId="0" borderId="11" xfId="1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6" applyFont="1" applyFill="1" applyAlignment="1" applyProtection="1">
      <alignment horizontal="center"/>
    </xf>
    <xf numFmtId="44" fontId="1" fillId="0" borderId="0" xfId="6" applyNumberFormat="1" applyFont="1" applyFill="1" applyAlignment="1" applyProtection="1">
      <alignment horizontal="center"/>
    </xf>
    <xf numFmtId="0" fontId="3" fillId="0" borderId="0" xfId="0" applyFont="1" applyFill="1" applyAlignment="1">
      <alignment horizontal="center"/>
    </xf>
    <xf numFmtId="44" fontId="3" fillId="0" borderId="0" xfId="3" applyFont="1" applyFill="1" applyBorder="1" applyAlignment="1">
      <alignment vertical="center"/>
    </xf>
    <xf numFmtId="0" fontId="3" fillId="0" borderId="0" xfId="6" applyFont="1" applyAlignment="1" applyProtection="1"/>
    <xf numFmtId="0" fontId="9" fillId="0" borderId="0" xfId="0" applyFont="1" applyFill="1"/>
    <xf numFmtId="0" fontId="3" fillId="0" borderId="0" xfId="11" applyFont="1" applyFill="1" applyBorder="1" applyAlignment="1">
      <alignment horizontal="center" vertical="center"/>
    </xf>
    <xf numFmtId="0" fontId="3" fillId="0" borderId="0" xfId="11" quotePrefix="1" applyFont="1" applyFill="1" applyBorder="1" applyAlignment="1">
      <alignment horizontal="left" vertical="center"/>
    </xf>
    <xf numFmtId="167" fontId="3" fillId="0" borderId="0" xfId="13" applyNumberFormat="1" applyFont="1" applyFill="1" applyBorder="1" applyAlignment="1">
      <alignment horizontal="center" vertical="center"/>
    </xf>
    <xf numFmtId="44" fontId="3" fillId="0" borderId="0" xfId="3" applyFont="1" applyFill="1" applyBorder="1" applyAlignment="1">
      <alignment horizontal="center" vertical="center"/>
    </xf>
    <xf numFmtId="0" fontId="3" fillId="0" borderId="0" xfId="11" applyFont="1" applyFill="1" applyBorder="1" applyAlignment="1">
      <alignment vertical="center"/>
    </xf>
    <xf numFmtId="0" fontId="3" fillId="0" borderId="2" xfId="11" applyFont="1" applyFill="1" applyBorder="1" applyAlignment="1">
      <alignment horizontal="center"/>
    </xf>
    <xf numFmtId="44" fontId="2" fillId="0" borderId="14" xfId="3" applyFont="1" applyFill="1" applyBorder="1" applyAlignment="1">
      <alignment horizontal="center" vertical="center"/>
    </xf>
    <xf numFmtId="44" fontId="3" fillId="0" borderId="3" xfId="3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3" fillId="0" borderId="1" xfId="11" applyFont="1" applyFill="1" applyBorder="1" applyAlignment="1">
      <alignment horizontal="left" vertical="center" indent="1"/>
    </xf>
    <xf numFmtId="49" fontId="0" fillId="0" borderId="14" xfId="0" applyNumberFormat="1" applyFill="1" applyBorder="1" applyAlignment="1">
      <alignment horizontal="left" vertical="center" indent="1"/>
    </xf>
    <xf numFmtId="167" fontId="3" fillId="0" borderId="14" xfId="13" applyNumberFormat="1" applyFont="1" applyFill="1" applyBorder="1" applyAlignment="1">
      <alignment horizontal="center" vertical="center"/>
    </xf>
    <xf numFmtId="44" fontId="3" fillId="0" borderId="1" xfId="3" applyFont="1" applyFill="1" applyBorder="1" applyAlignment="1">
      <alignment vertical="center"/>
    </xf>
    <xf numFmtId="0" fontId="3" fillId="0" borderId="2" xfId="11" applyFont="1" applyFill="1" applyBorder="1" applyAlignment="1">
      <alignment horizontal="left" vertical="center" indent="1"/>
    </xf>
    <xf numFmtId="49" fontId="0" fillId="0" borderId="2" xfId="0" applyNumberFormat="1" applyFill="1" applyBorder="1" applyAlignment="1">
      <alignment horizontal="left" vertical="center" indent="1"/>
    </xf>
    <xf numFmtId="167" fontId="3" fillId="0" borderId="2" xfId="13" applyNumberFormat="1" applyFont="1" applyFill="1" applyBorder="1" applyAlignment="1">
      <alignment horizontal="center" vertical="center"/>
    </xf>
    <xf numFmtId="44" fontId="3" fillId="0" borderId="2" xfId="3" applyFont="1" applyFill="1" applyBorder="1" applyAlignment="1">
      <alignment vertical="center"/>
    </xf>
    <xf numFmtId="0" fontId="3" fillId="0" borderId="2" xfId="11" applyFont="1" applyFill="1" applyBorder="1" applyAlignment="1">
      <alignment horizontal="center" vertical="center"/>
    </xf>
    <xf numFmtId="0" fontId="3" fillId="0" borderId="2" xfId="11" quotePrefix="1" applyFont="1" applyFill="1" applyBorder="1" applyAlignment="1">
      <alignment horizontal="left" vertical="center" indent="1"/>
    </xf>
    <xf numFmtId="0" fontId="0" fillId="0" borderId="3" xfId="0" applyNumberForma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left" vertical="center" indent="1"/>
    </xf>
    <xf numFmtId="167" fontId="3" fillId="0" borderId="3" xfId="13" applyNumberFormat="1" applyFont="1" applyFill="1" applyBorder="1" applyAlignment="1">
      <alignment horizontal="center" vertical="center"/>
    </xf>
    <xf numFmtId="44" fontId="3" fillId="0" borderId="3" xfId="3" applyFont="1" applyFill="1" applyBorder="1" applyAlignment="1">
      <alignment vertical="center"/>
    </xf>
    <xf numFmtId="0" fontId="3" fillId="0" borderId="0" xfId="11" applyFont="1" applyFill="1" applyBorder="1" applyAlignment="1">
      <alignment horizontal="center"/>
    </xf>
    <xf numFmtId="0" fontId="3" fillId="0" borderId="0" xfId="11" applyFont="1" applyFill="1" applyBorder="1" applyAlignment="1">
      <alignment horizontal="left"/>
    </xf>
    <xf numFmtId="0" fontId="3" fillId="0" borderId="0" xfId="11" quotePrefix="1" applyFont="1" applyFill="1" applyBorder="1" applyAlignment="1">
      <alignment horizontal="left"/>
    </xf>
    <xf numFmtId="167" fontId="3" fillId="0" borderId="0" xfId="13" applyNumberFormat="1" applyFont="1" applyFill="1" applyBorder="1" applyAlignment="1">
      <alignment horizontal="center"/>
    </xf>
    <xf numFmtId="44" fontId="3" fillId="0" borderId="0" xfId="3" applyFont="1" applyFill="1" applyBorder="1"/>
    <xf numFmtId="49" fontId="0" fillId="0" borderId="1" xfId="0" applyNumberFormat="1" applyFill="1" applyBorder="1" applyAlignment="1">
      <alignment horizontal="left" vertical="center" indent="1"/>
    </xf>
    <xf numFmtId="167" fontId="3" fillId="0" borderId="1" xfId="13" applyNumberFormat="1" applyFont="1" applyFill="1" applyBorder="1" applyAlignment="1">
      <alignment horizontal="center" vertical="center"/>
    </xf>
    <xf numFmtId="0" fontId="3" fillId="0" borderId="2" xfId="11" applyFont="1" applyFill="1" applyBorder="1" applyAlignment="1">
      <alignment horizontal="left" indent="1"/>
    </xf>
    <xf numFmtId="0" fontId="3" fillId="0" borderId="2" xfId="11" quotePrefix="1" applyFont="1" applyFill="1" applyBorder="1" applyAlignment="1">
      <alignment horizontal="left" indent="1"/>
    </xf>
    <xf numFmtId="167" fontId="3" fillId="0" borderId="2" xfId="13" applyNumberFormat="1" applyFont="1" applyFill="1" applyBorder="1" applyAlignment="1">
      <alignment horizontal="center"/>
    </xf>
    <xf numFmtId="164" fontId="3" fillId="0" borderId="3" xfId="3" applyNumberFormat="1" applyFont="1" applyFill="1" applyBorder="1" applyAlignment="1">
      <alignment horizontal="center" vertical="center"/>
    </xf>
    <xf numFmtId="164" fontId="3" fillId="0" borderId="3" xfId="9" applyNumberFormat="1" applyFont="1" applyFill="1" applyBorder="1" applyAlignment="1">
      <alignment horizontal="center" vertical="center"/>
    </xf>
    <xf numFmtId="0" fontId="3" fillId="0" borderId="0" xfId="11" applyFont="1" applyFill="1" applyBorder="1"/>
    <xf numFmtId="0" fontId="2" fillId="0" borderId="4" xfId="11" applyFont="1" applyFill="1" applyBorder="1" applyAlignment="1">
      <alignment horizontal="center" vertical="center" wrapText="1"/>
    </xf>
    <xf numFmtId="167" fontId="2" fillId="0" borderId="4" xfId="13" quotePrefix="1" applyNumberFormat="1" applyFont="1" applyFill="1" applyBorder="1" applyAlignment="1">
      <alignment horizontal="center" vertical="center" wrapText="1"/>
    </xf>
    <xf numFmtId="44" fontId="2" fillId="0" borderId="4" xfId="3" applyFont="1" applyFill="1" applyBorder="1" applyAlignment="1">
      <alignment horizontal="center" vertical="center" wrapText="1"/>
    </xf>
    <xf numFmtId="44" fontId="9" fillId="0" borderId="0" xfId="3" quotePrefix="1" applyFont="1" applyFill="1" applyBorder="1" applyAlignment="1">
      <alignment vertical="center"/>
    </xf>
    <xf numFmtId="44" fontId="15" fillId="0" borderId="0" xfId="3" applyFont="1" applyFill="1" applyBorder="1" applyAlignment="1">
      <alignment horizontal="center" vertical="center"/>
    </xf>
    <xf numFmtId="0" fontId="15" fillId="0" borderId="0" xfId="11" applyFont="1" applyFill="1" applyBorder="1" applyAlignment="1">
      <alignment vertical="center"/>
    </xf>
    <xf numFmtId="49" fontId="0" fillId="0" borderId="3" xfId="0" quotePrefix="1" applyNumberFormat="1" applyFill="1" applyBorder="1" applyAlignment="1">
      <alignment horizontal="left" vertical="center" indent="1"/>
    </xf>
    <xf numFmtId="2" fontId="3" fillId="0" borderId="0" xfId="11" applyNumberFormat="1" applyFont="1"/>
    <xf numFmtId="0" fontId="2" fillId="0" borderId="15" xfId="11" quotePrefix="1" applyFont="1" applyFill="1" applyBorder="1" applyAlignment="1">
      <alignment horizontal="center" vertical="center"/>
    </xf>
    <xf numFmtId="167" fontId="2" fillId="0" borderId="16" xfId="13" quotePrefix="1" applyNumberFormat="1" applyFont="1" applyFill="1" applyBorder="1" applyAlignment="1">
      <alignment horizontal="center" vertical="center" wrapText="1"/>
    </xf>
    <xf numFmtId="44" fontId="2" fillId="0" borderId="15" xfId="3" quotePrefix="1" applyFont="1" applyFill="1" applyBorder="1" applyAlignment="1">
      <alignment horizontal="center" vertical="center" wrapText="1"/>
    </xf>
    <xf numFmtId="0" fontId="3" fillId="0" borderId="17" xfId="11" applyFont="1" applyFill="1" applyBorder="1" applyAlignment="1">
      <alignment horizontal="center"/>
    </xf>
    <xf numFmtId="0" fontId="3" fillId="0" borderId="18" xfId="11" applyFont="1" applyFill="1" applyBorder="1"/>
    <xf numFmtId="167" fontId="3" fillId="0" borderId="18" xfId="13" applyNumberFormat="1" applyFont="1" applyFill="1" applyBorder="1" applyAlignment="1">
      <alignment horizontal="center"/>
    </xf>
    <xf numFmtId="44" fontId="3" fillId="0" borderId="19" xfId="3" applyFont="1" applyFill="1" applyBorder="1"/>
    <xf numFmtId="0" fontId="0" fillId="0" borderId="20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vertical="center"/>
    </xf>
    <xf numFmtId="167" fontId="3" fillId="0" borderId="5" xfId="13" applyNumberFormat="1" applyFont="1" applyFill="1" applyBorder="1" applyAlignment="1">
      <alignment horizontal="center" vertical="center"/>
    </xf>
    <xf numFmtId="44" fontId="3" fillId="0" borderId="21" xfId="3" applyFont="1" applyFill="1" applyBorder="1" applyAlignment="1">
      <alignment vertical="center"/>
    </xf>
    <xf numFmtId="0" fontId="3" fillId="0" borderId="0" xfId="11" applyFont="1" applyFill="1"/>
    <xf numFmtId="0" fontId="3" fillId="0" borderId="20" xfId="11" applyFont="1" applyFill="1" applyBorder="1" applyAlignment="1">
      <alignment horizontal="center" vertical="center"/>
    </xf>
    <xf numFmtId="0" fontId="3" fillId="0" borderId="5" xfId="11" applyFont="1" applyFill="1" applyBorder="1" applyAlignment="1">
      <alignment vertical="center"/>
    </xf>
    <xf numFmtId="49" fontId="0" fillId="0" borderId="5" xfId="0" applyNumberFormat="1" applyFill="1" applyBorder="1" applyAlignment="1">
      <alignment vertical="center" wrapText="1"/>
    </xf>
    <xf numFmtId="0" fontId="3" fillId="0" borderId="5" xfId="11" applyFont="1" applyFill="1" applyBorder="1" applyAlignment="1">
      <alignment vertical="center" wrapText="1"/>
    </xf>
    <xf numFmtId="0" fontId="3" fillId="0" borderId="22" xfId="11" applyFont="1" applyFill="1" applyBorder="1" applyAlignment="1">
      <alignment horizontal="center"/>
    </xf>
    <xf numFmtId="0" fontId="3" fillId="0" borderId="23" xfId="11" applyFont="1" applyFill="1" applyBorder="1"/>
    <xf numFmtId="167" fontId="3" fillId="0" borderId="23" xfId="13" applyNumberFormat="1" applyFont="1" applyFill="1" applyBorder="1" applyAlignment="1">
      <alignment horizontal="center"/>
    </xf>
    <xf numFmtId="44" fontId="3" fillId="0" borderId="24" xfId="3" applyFont="1" applyFill="1" applyBorder="1"/>
    <xf numFmtId="49" fontId="0" fillId="0" borderId="2" xfId="0" applyNumberFormat="1" applyFill="1" applyBorder="1" applyAlignment="1">
      <alignment vertical="center"/>
    </xf>
    <xf numFmtId="49" fontId="0" fillId="0" borderId="2" xfId="0" quotePrefix="1" applyNumberForma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left" vertical="center"/>
    </xf>
    <xf numFmtId="0" fontId="0" fillId="0" borderId="26" xfId="0" applyNumberFormat="1" applyFill="1" applyBorder="1" applyAlignment="1">
      <alignment horizontal="center" vertical="center"/>
    </xf>
    <xf numFmtId="49" fontId="0" fillId="0" borderId="26" xfId="0" quotePrefix="1" applyNumberFormat="1" applyFill="1" applyBorder="1" applyAlignment="1">
      <alignment horizontal="left" vertical="center"/>
    </xf>
    <xf numFmtId="167" fontId="3" fillId="0" borderId="26" xfId="13" applyNumberFormat="1" applyFont="1" applyFill="1" applyBorder="1" applyAlignment="1">
      <alignment horizontal="center" vertical="center"/>
    </xf>
    <xf numFmtId="0" fontId="3" fillId="0" borderId="0" xfId="11" applyFont="1" applyFill="1" applyAlignment="1">
      <alignment horizontal="center"/>
    </xf>
    <xf numFmtId="0" fontId="3" fillId="0" borderId="0" xfId="11" quotePrefix="1" applyFont="1" applyFill="1" applyAlignment="1">
      <alignment horizontal="left"/>
    </xf>
    <xf numFmtId="167" fontId="3" fillId="0" borderId="0" xfId="13" applyNumberFormat="1" applyFont="1" applyFill="1" applyAlignment="1">
      <alignment horizontal="center"/>
    </xf>
    <xf numFmtId="44" fontId="2" fillId="0" borderId="17" xfId="3" applyFont="1" applyFill="1" applyBorder="1" applyAlignment="1">
      <alignment horizontal="center" vertical="center"/>
    </xf>
    <xf numFmtId="44" fontId="2" fillId="0" borderId="18" xfId="3" applyFont="1" applyFill="1" applyBorder="1" applyAlignment="1">
      <alignment horizontal="center" vertical="center"/>
    </xf>
    <xf numFmtId="44" fontId="2" fillId="0" borderId="19" xfId="3" applyFont="1" applyFill="1" applyBorder="1" applyAlignment="1">
      <alignment horizontal="center" vertical="center"/>
    </xf>
    <xf numFmtId="44" fontId="2" fillId="0" borderId="28" xfId="3" applyFont="1" applyFill="1" applyBorder="1" applyAlignment="1">
      <alignment horizontal="center" vertical="center"/>
    </xf>
    <xf numFmtId="164" fontId="3" fillId="0" borderId="22" xfId="3" applyNumberFormat="1" applyFont="1" applyFill="1" applyBorder="1" applyAlignment="1">
      <alignment horizontal="center" vertical="center"/>
    </xf>
    <xf numFmtId="164" fontId="3" fillId="0" borderId="23" xfId="9" applyNumberFormat="1" applyFont="1" applyFill="1" applyBorder="1" applyAlignment="1">
      <alignment horizontal="center" vertical="center"/>
    </xf>
    <xf numFmtId="44" fontId="3" fillId="0" borderId="24" xfId="3" applyFont="1" applyFill="1" applyBorder="1" applyAlignment="1">
      <alignment horizontal="center" vertical="center"/>
    </xf>
    <xf numFmtId="44" fontId="3" fillId="0" borderId="20" xfId="3" applyFont="1" applyFill="1" applyBorder="1" applyAlignment="1">
      <alignment vertical="center"/>
    </xf>
    <xf numFmtId="44" fontId="3" fillId="0" borderId="5" xfId="3" applyFont="1" applyFill="1" applyBorder="1" applyAlignment="1">
      <alignment vertical="center"/>
    </xf>
    <xf numFmtId="167" fontId="3" fillId="0" borderId="31" xfId="13" applyNumberFormat="1" applyFont="1" applyFill="1" applyBorder="1" applyAlignment="1">
      <alignment horizontal="center" vertical="center"/>
    </xf>
    <xf numFmtId="167" fontId="3" fillId="0" borderId="32" xfId="13" applyNumberFormat="1" applyFont="1" applyFill="1" applyBorder="1" applyAlignment="1">
      <alignment horizontal="center" vertical="center"/>
    </xf>
    <xf numFmtId="44" fontId="3" fillId="0" borderId="22" xfId="3" applyFont="1" applyFill="1" applyBorder="1" applyAlignment="1">
      <alignment vertical="center"/>
    </xf>
    <xf numFmtId="44" fontId="3" fillId="0" borderId="23" xfId="3" applyFont="1" applyFill="1" applyBorder="1" applyAlignment="1">
      <alignment vertical="center"/>
    </xf>
    <xf numFmtId="44" fontId="3" fillId="0" borderId="24" xfId="3" applyFont="1" applyFill="1" applyBorder="1" applyAlignment="1">
      <alignment vertical="center"/>
    </xf>
    <xf numFmtId="44" fontId="3" fillId="0" borderId="29" xfId="3" applyFont="1" applyFill="1" applyBorder="1" applyAlignment="1">
      <alignment vertical="center"/>
    </xf>
    <xf numFmtId="44" fontId="2" fillId="0" borderId="33" xfId="3" applyFont="1" applyFill="1" applyBorder="1" applyAlignment="1">
      <alignment horizontal="center" vertical="center"/>
    </xf>
    <xf numFmtId="44" fontId="2" fillId="0" borderId="13" xfId="3" applyFont="1" applyFill="1" applyBorder="1" applyAlignment="1">
      <alignment horizontal="center" vertical="center"/>
    </xf>
    <xf numFmtId="44" fontId="2" fillId="0" borderId="34" xfId="3" applyFont="1" applyFill="1" applyBorder="1" applyAlignment="1">
      <alignment horizontal="center" vertical="center"/>
    </xf>
    <xf numFmtId="164" fontId="3" fillId="0" borderId="35" xfId="9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left" vertical="center" wrapText="1"/>
    </xf>
    <xf numFmtId="44" fontId="3" fillId="0" borderId="39" xfId="3" applyFont="1" applyFill="1" applyBorder="1" applyAlignment="1">
      <alignment vertical="center"/>
    </xf>
    <xf numFmtId="49" fontId="0" fillId="0" borderId="26" xfId="0" quotePrefix="1" applyNumberFormat="1" applyFill="1" applyBorder="1" applyAlignment="1">
      <alignment horizontal="left" vertical="center" wrapText="1"/>
    </xf>
    <xf numFmtId="44" fontId="3" fillId="0" borderId="36" xfId="3" applyFont="1" applyFill="1" applyBorder="1" applyAlignment="1">
      <alignment vertical="center"/>
    </xf>
    <xf numFmtId="44" fontId="3" fillId="0" borderId="37" xfId="3" applyFont="1" applyFill="1" applyBorder="1" applyAlignment="1">
      <alignment vertical="center"/>
    </xf>
    <xf numFmtId="44" fontId="3" fillId="0" borderId="38" xfId="3" applyFont="1" applyFill="1" applyBorder="1" applyAlignment="1">
      <alignment vertical="center"/>
    </xf>
    <xf numFmtId="44" fontId="3" fillId="0" borderId="35" xfId="3" applyFont="1" applyFill="1" applyBorder="1" applyAlignment="1">
      <alignment vertical="center"/>
    </xf>
    <xf numFmtId="0" fontId="3" fillId="0" borderId="3" xfId="11" applyFont="1" applyFill="1" applyBorder="1" applyAlignment="1">
      <alignment horizontal="center"/>
    </xf>
    <xf numFmtId="44" fontId="2" fillId="0" borderId="20" xfId="3" applyFont="1" applyFill="1" applyBorder="1" applyAlignment="1">
      <alignment horizontal="center" vertical="center"/>
    </xf>
    <xf numFmtId="44" fontId="2" fillId="0" borderId="5" xfId="3" applyFont="1" applyFill="1" applyBorder="1" applyAlignment="1">
      <alignment horizontal="center" vertical="center"/>
    </xf>
    <xf numFmtId="44" fontId="2" fillId="0" borderId="30" xfId="3" quotePrefix="1" applyFont="1" applyFill="1" applyBorder="1" applyAlignment="1">
      <alignment horizontal="center" vertical="center"/>
    </xf>
    <xf numFmtId="44" fontId="3" fillId="0" borderId="22" xfId="3" applyNumberFormat="1" applyFont="1" applyFill="1" applyBorder="1" applyAlignment="1">
      <alignment horizontal="center" vertical="center"/>
    </xf>
    <xf numFmtId="44" fontId="3" fillId="0" borderId="23" xfId="3" applyNumberFormat="1" applyFont="1" applyFill="1" applyBorder="1" applyAlignment="1">
      <alignment horizontal="center" vertical="center"/>
    </xf>
    <xf numFmtId="44" fontId="3" fillId="0" borderId="29" xfId="3" applyNumberFormat="1" applyFont="1" applyFill="1" applyBorder="1" applyAlignment="1">
      <alignment horizontal="center" vertical="center"/>
    </xf>
    <xf numFmtId="0" fontId="3" fillId="0" borderId="17" xfId="11" applyFont="1" applyFill="1" applyBorder="1" applyAlignment="1">
      <alignment horizontal="center" vertical="center"/>
    </xf>
    <xf numFmtId="0" fontId="3" fillId="0" borderId="18" xfId="11" applyFont="1" applyFill="1" applyBorder="1" applyAlignment="1">
      <alignment horizontal="left" vertical="center"/>
    </xf>
    <xf numFmtId="167" fontId="3" fillId="0" borderId="18" xfId="13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5" xfId="11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0" xfId="1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167" fontId="3" fillId="0" borderId="0" xfId="13" applyNumberFormat="1" applyFont="1" applyFill="1" applyBorder="1" applyAlignment="1">
      <alignment horizontal="left" vertical="center"/>
    </xf>
    <xf numFmtId="0" fontId="3" fillId="0" borderId="23" xfId="11" applyFont="1" applyFill="1" applyBorder="1" applyAlignment="1">
      <alignment horizontal="left" vertical="center"/>
    </xf>
    <xf numFmtId="0" fontId="3" fillId="0" borderId="0" xfId="11" applyFont="1" applyFill="1" applyAlignment="1">
      <alignment horizontal="right"/>
    </xf>
    <xf numFmtId="167" fontId="3" fillId="0" borderId="0" xfId="13" applyNumberFormat="1" applyFont="1" applyFill="1" applyAlignment="1">
      <alignment horizontal="right"/>
    </xf>
    <xf numFmtId="49" fontId="0" fillId="0" borderId="0" xfId="0" applyNumberFormat="1" applyFill="1" applyBorder="1" applyAlignment="1">
      <alignment vertical="center"/>
    </xf>
    <xf numFmtId="44" fontId="2" fillId="0" borderId="0" xfId="3" quotePrefix="1" applyFont="1" applyFill="1" applyAlignment="1">
      <alignment horizontal="center" vertical="center"/>
    </xf>
    <xf numFmtId="0" fontId="3" fillId="0" borderId="2" xfId="11" quotePrefix="1" applyFont="1" applyFill="1" applyBorder="1" applyAlignment="1">
      <alignment horizontal="center" vertical="center"/>
    </xf>
    <xf numFmtId="0" fontId="2" fillId="0" borderId="15" xfId="11" applyFont="1" applyFill="1" applyBorder="1" applyAlignment="1">
      <alignment horizontal="center" vertical="center"/>
    </xf>
    <xf numFmtId="44" fontId="2" fillId="0" borderId="4" xfId="3" quotePrefix="1" applyFont="1" applyFill="1" applyBorder="1" applyAlignment="1">
      <alignment horizontal="center" vertical="center" wrapText="1"/>
    </xf>
    <xf numFmtId="0" fontId="3" fillId="0" borderId="14" xfId="11" applyFont="1" applyFill="1" applyBorder="1" applyAlignment="1">
      <alignment horizontal="center" vertical="center"/>
    </xf>
    <xf numFmtId="0" fontId="3" fillId="0" borderId="14" xfId="11" quotePrefix="1" applyFont="1" applyFill="1" applyBorder="1" applyAlignment="1">
      <alignment horizontal="center" vertical="center"/>
    </xf>
    <xf numFmtId="0" fontId="3" fillId="0" borderId="14" xfId="11" quotePrefix="1" applyFont="1" applyFill="1" applyBorder="1" applyAlignment="1">
      <alignment horizontal="left" vertical="center"/>
    </xf>
    <xf numFmtId="44" fontId="3" fillId="0" borderId="40" xfId="3" applyFont="1" applyFill="1" applyBorder="1" applyAlignment="1">
      <alignment horizontal="center"/>
    </xf>
    <xf numFmtId="44" fontId="3" fillId="0" borderId="14" xfId="3" applyFont="1" applyFill="1" applyBorder="1" applyAlignment="1">
      <alignment horizontal="center"/>
    </xf>
    <xf numFmtId="49" fontId="0" fillId="0" borderId="2" xfId="0" applyNumberFormat="1" applyFill="1" applyBorder="1" applyAlignment="1">
      <alignment horizontal="center" vertical="center"/>
    </xf>
    <xf numFmtId="167" fontId="3" fillId="0" borderId="30" xfId="13" applyNumberFormat="1" applyFont="1" applyFill="1" applyBorder="1" applyAlignment="1">
      <alignment horizontal="center" vertical="center"/>
    </xf>
    <xf numFmtId="0" fontId="3" fillId="0" borderId="3" xfId="11" applyFont="1" applyFill="1" applyBorder="1" applyAlignment="1">
      <alignment horizontal="center" vertical="center"/>
    </xf>
    <xf numFmtId="0" fontId="3" fillId="0" borderId="3" xfId="11" quotePrefix="1" applyFont="1" applyFill="1" applyBorder="1" applyAlignment="1">
      <alignment horizontal="left" vertical="center"/>
    </xf>
    <xf numFmtId="167" fontId="3" fillId="0" borderId="29" xfId="13" applyNumberFormat="1" applyFont="1" applyFill="1" applyBorder="1" applyAlignment="1">
      <alignment horizontal="center" vertical="center"/>
    </xf>
    <xf numFmtId="0" fontId="3" fillId="0" borderId="3" xfId="11" quotePrefix="1" applyFont="1" applyFill="1" applyBorder="1" applyAlignment="1">
      <alignment horizontal="left"/>
    </xf>
    <xf numFmtId="167" fontId="3" fillId="0" borderId="29" xfId="13" applyNumberFormat="1" applyFont="1" applyFill="1" applyBorder="1" applyAlignment="1">
      <alignment horizontal="center"/>
    </xf>
    <xf numFmtId="44" fontId="3" fillId="0" borderId="3" xfId="3" applyFont="1" applyFill="1" applyBorder="1"/>
    <xf numFmtId="166" fontId="3" fillId="0" borderId="0" xfId="3" applyNumberFormat="1" applyFont="1" applyFill="1"/>
    <xf numFmtId="0" fontId="15" fillId="0" borderId="3" xfId="11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vertical="center"/>
    </xf>
    <xf numFmtId="0" fontId="15" fillId="0" borderId="3" xfId="11" applyFont="1" applyFill="1" applyBorder="1" applyAlignment="1">
      <alignment horizontal="left" vertical="center" wrapText="1"/>
    </xf>
    <xf numFmtId="167" fontId="15" fillId="0" borderId="3" xfId="13" applyNumberFormat="1" applyFont="1" applyFill="1" applyBorder="1" applyAlignment="1">
      <alignment horizontal="center" vertical="center"/>
    </xf>
    <xf numFmtId="44" fontId="15" fillId="0" borderId="22" xfId="3" applyFont="1" applyFill="1" applyBorder="1" applyAlignment="1">
      <alignment vertical="center"/>
    </xf>
    <xf numFmtId="44" fontId="15" fillId="0" borderId="23" xfId="3" applyFont="1" applyFill="1" applyBorder="1" applyAlignment="1">
      <alignment vertical="center"/>
    </xf>
    <xf numFmtId="44" fontId="15" fillId="0" borderId="52" xfId="3" applyFont="1" applyFill="1" applyBorder="1" applyAlignment="1">
      <alignment vertical="center"/>
    </xf>
    <xf numFmtId="44" fontId="15" fillId="0" borderId="29" xfId="3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3" xfId="11" applyFont="1" applyFill="1" applyBorder="1" applyAlignment="1">
      <alignment horizontal="center"/>
    </xf>
    <xf numFmtId="0" fontId="2" fillId="0" borderId="4" xfId="11" applyFont="1" applyFill="1" applyBorder="1" applyAlignment="1">
      <alignment horizontal="center" vertical="center"/>
    </xf>
    <xf numFmtId="0" fontId="3" fillId="0" borderId="3" xfId="11" applyFont="1" applyFill="1" applyBorder="1" applyAlignment="1">
      <alignment horizontal="left" indent="1"/>
    </xf>
    <xf numFmtId="0" fontId="3" fillId="0" borderId="3" xfId="11" quotePrefix="1" applyFont="1" applyFill="1" applyBorder="1" applyAlignment="1">
      <alignment horizontal="left" indent="1"/>
    </xf>
    <xf numFmtId="167" fontId="3" fillId="0" borderId="3" xfId="13" applyNumberFormat="1" applyFont="1" applyFill="1" applyBorder="1" applyAlignment="1">
      <alignment horizontal="center"/>
    </xf>
    <xf numFmtId="49" fontId="0" fillId="0" borderId="30" xfId="0" applyNumberFormat="1" applyFill="1" applyBorder="1" applyAlignment="1">
      <alignment horizontal="left"/>
    </xf>
    <xf numFmtId="49" fontId="1" fillId="0" borderId="30" xfId="0" applyNumberFormat="1" applyFont="1" applyFill="1" applyBorder="1" applyAlignment="1">
      <alignment horizontal="left"/>
    </xf>
    <xf numFmtId="0" fontId="3" fillId="0" borderId="31" xfId="11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167" fontId="3" fillId="0" borderId="2" xfId="13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12" fillId="0" borderId="0" xfId="0" applyFont="1" applyFill="1"/>
    <xf numFmtId="167" fontId="3" fillId="0" borderId="23" xfId="13" applyNumberFormat="1" applyFont="1" applyFill="1" applyBorder="1" applyAlignment="1">
      <alignment horizontal="center" vertical="center"/>
    </xf>
    <xf numFmtId="0" fontId="2" fillId="0" borderId="0" xfId="11" applyFon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8" fillId="0" borderId="0" xfId="0" applyFont="1" applyAlignment="1"/>
    <xf numFmtId="169" fontId="18" fillId="0" borderId="0" xfId="3" applyNumberFormat="1" applyFont="1"/>
    <xf numFmtId="10" fontId="19" fillId="0" borderId="0" xfId="0" applyNumberFormat="1" applyFont="1"/>
    <xf numFmtId="0" fontId="19" fillId="0" borderId="0" xfId="0" applyFont="1"/>
    <xf numFmtId="3" fontId="18" fillId="0" borderId="0" xfId="0" applyNumberFormat="1" applyFont="1" applyAlignment="1">
      <alignment horizontal="center" vertical="center" wrapText="1"/>
    </xf>
    <xf numFmtId="0" fontId="19" fillId="0" borderId="0" xfId="0" applyFont="1" applyAlignment="1"/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quotePrefix="1" applyFont="1" applyFill="1" applyAlignment="1">
      <alignment horizontal="left"/>
    </xf>
    <xf numFmtId="164" fontId="19" fillId="0" borderId="0" xfId="10" applyNumberFormat="1" applyFont="1" applyFill="1" applyAlignment="1">
      <alignment horizontal="center"/>
    </xf>
    <xf numFmtId="0" fontId="19" fillId="0" borderId="0" xfId="0" applyFont="1" applyFill="1"/>
    <xf numFmtId="164" fontId="19" fillId="0" borderId="0" xfId="1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44" fontId="19" fillId="0" borderId="0" xfId="3" applyFont="1" applyFill="1"/>
    <xf numFmtId="164" fontId="19" fillId="0" borderId="0" xfId="0" applyNumberFormat="1" applyFont="1" applyFill="1" applyAlignment="1">
      <alignment horizontal="center"/>
    </xf>
    <xf numFmtId="165" fontId="19" fillId="0" borderId="0" xfId="0" applyNumberFormat="1" applyFont="1" applyFill="1" applyAlignment="1">
      <alignment horizontal="center"/>
    </xf>
    <xf numFmtId="0" fontId="19" fillId="0" borderId="0" xfId="0" quotePrefix="1" applyFont="1" applyFill="1" applyAlignment="1">
      <alignment horizontal="right"/>
    </xf>
    <xf numFmtId="0" fontId="20" fillId="0" borderId="0" xfId="0" applyFont="1" applyFill="1"/>
    <xf numFmtId="0" fontId="18" fillId="0" borderId="0" xfId="0" applyFont="1"/>
    <xf numFmtId="173" fontId="18" fillId="0" borderId="0" xfId="3" quotePrefix="1" applyNumberFormat="1" applyFont="1" applyAlignment="1">
      <alignment horizontal="center"/>
    </xf>
    <xf numFmtId="0" fontId="19" fillId="0" borderId="0" xfId="0" applyFont="1" applyFill="1" applyAlignment="1">
      <alignment horizontal="center"/>
    </xf>
    <xf numFmtId="0" fontId="18" fillId="0" borderId="0" xfId="0" applyFont="1" applyAlignment="1">
      <alignment horizontal="center" vertical="center" wrapText="1"/>
    </xf>
    <xf numFmtId="3" fontId="18" fillId="0" borderId="0" xfId="0" quotePrefix="1" applyNumberFormat="1" applyFont="1" applyAlignment="1">
      <alignment horizontal="center" vertical="center" wrapText="1"/>
    </xf>
    <xf numFmtId="0" fontId="19" fillId="0" borderId="0" xfId="0" quotePrefix="1" applyFont="1" applyFill="1" applyAlignment="1">
      <alignment horizontal="center"/>
    </xf>
    <xf numFmtId="0" fontId="19" fillId="0" borderId="0" xfId="0" quotePrefix="1" applyFont="1" applyFill="1" applyBorder="1" applyAlignment="1">
      <alignment horizontal="center" vertical="center" wrapText="1"/>
    </xf>
    <xf numFmtId="44" fontId="19" fillId="0" borderId="0" xfId="3" applyNumberFormat="1" applyFont="1" applyFill="1"/>
    <xf numFmtId="0" fontId="19" fillId="0" borderId="0" xfId="0" applyFont="1" applyFill="1" applyAlignment="1">
      <alignment horizontal="right"/>
    </xf>
    <xf numFmtId="10" fontId="19" fillId="0" borderId="0" xfId="13" applyNumberFormat="1" applyFont="1" applyFill="1" applyAlignment="1">
      <alignment horizontal="center"/>
    </xf>
    <xf numFmtId="168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left"/>
    </xf>
    <xf numFmtId="0" fontId="19" fillId="0" borderId="0" xfId="0" applyFont="1" applyAlignment="1">
      <alignment horizontal="center"/>
    </xf>
    <xf numFmtId="165" fontId="19" fillId="0" borderId="0" xfId="0" applyNumberFormat="1" applyFont="1" applyAlignment="1">
      <alignment horizontal="center"/>
    </xf>
    <xf numFmtId="0" fontId="19" fillId="0" borderId="0" xfId="0" quotePrefix="1" applyFont="1" applyAlignment="1">
      <alignment horizontal="center"/>
    </xf>
    <xf numFmtId="0" fontId="19" fillId="0" borderId="0" xfId="0" quotePrefix="1" applyFont="1" applyAlignment="1">
      <alignment horizontal="left"/>
    </xf>
    <xf numFmtId="0" fontId="18" fillId="0" borderId="0" xfId="8" applyFont="1" applyFill="1"/>
    <xf numFmtId="0" fontId="18" fillId="0" borderId="0" xfId="8" applyFont="1"/>
    <xf numFmtId="173" fontId="18" fillId="0" borderId="0" xfId="13" applyNumberFormat="1" applyFont="1"/>
    <xf numFmtId="0" fontId="18" fillId="0" borderId="0" xfId="14" applyFont="1"/>
    <xf numFmtId="3" fontId="18" fillId="0" borderId="0" xfId="8" applyNumberFormat="1" applyFont="1" applyFill="1" applyAlignment="1">
      <alignment horizontal="center" vertical="center" wrapText="1"/>
    </xf>
    <xf numFmtId="0" fontId="18" fillId="0" borderId="0" xfId="8" applyFont="1" applyAlignment="1">
      <alignment horizontal="center" vertical="center" wrapText="1"/>
    </xf>
    <xf numFmtId="0" fontId="18" fillId="0" borderId="0" xfId="14" applyFont="1" applyAlignment="1">
      <alignment horizontal="center" vertical="center" wrapText="1"/>
    </xf>
    <xf numFmtId="3" fontId="18" fillId="0" borderId="0" xfId="14" quotePrefix="1" applyNumberFormat="1" applyFont="1" applyAlignment="1">
      <alignment horizontal="center" vertical="center" wrapText="1"/>
    </xf>
    <xf numFmtId="0" fontId="19" fillId="0" borderId="0" xfId="7" quotePrefix="1" applyFont="1" applyFill="1" applyAlignment="1">
      <alignment horizontal="center"/>
    </xf>
    <xf numFmtId="0" fontId="21" fillId="0" borderId="0" xfId="8" applyFont="1" applyFill="1"/>
    <xf numFmtId="8" fontId="19" fillId="0" borderId="0" xfId="7" applyNumberFormat="1" applyFont="1" applyFill="1" applyAlignment="1">
      <alignment horizontal="center"/>
    </xf>
    <xf numFmtId="0" fontId="19" fillId="0" borderId="0" xfId="7" applyFont="1" applyFill="1"/>
    <xf numFmtId="0" fontId="19" fillId="0" borderId="0" xfId="7" applyFont="1"/>
    <xf numFmtId="0" fontId="19" fillId="0" borderId="0" xfId="14" applyFont="1" applyAlignment="1">
      <alignment horizontal="right"/>
    </xf>
    <xf numFmtId="10" fontId="19" fillId="0" borderId="0" xfId="13" applyNumberFormat="1" applyFont="1" applyAlignment="1">
      <alignment horizontal="center"/>
    </xf>
    <xf numFmtId="0" fontId="19" fillId="0" borderId="0" xfId="8" applyFont="1"/>
    <xf numFmtId="0" fontId="19" fillId="0" borderId="0" xfId="7" applyFont="1" applyFill="1" applyAlignment="1">
      <alignment horizontal="center"/>
    </xf>
    <xf numFmtId="0" fontId="19" fillId="0" borderId="0" xfId="7" quotePrefix="1" applyFont="1" applyFill="1" applyAlignment="1">
      <alignment horizontal="left"/>
    </xf>
    <xf numFmtId="8" fontId="19" fillId="0" borderId="0" xfId="14" applyNumberFormat="1" applyFont="1" applyFill="1" applyAlignment="1">
      <alignment horizontal="center"/>
    </xf>
    <xf numFmtId="0" fontId="19" fillId="0" borderId="0" xfId="14" applyFont="1"/>
    <xf numFmtId="0" fontId="19" fillId="0" borderId="0" xfId="7" applyFont="1" applyFill="1" applyAlignment="1">
      <alignment horizontal="left"/>
    </xf>
    <xf numFmtId="0" fontId="19" fillId="0" borderId="0" xfId="8" applyFont="1" applyFill="1"/>
    <xf numFmtId="0" fontId="21" fillId="0" borderId="0" xfId="7" quotePrefix="1" applyFont="1" applyFill="1" applyAlignment="1">
      <alignment horizontal="left"/>
    </xf>
    <xf numFmtId="0" fontId="21" fillId="0" borderId="0" xfId="7" applyFont="1" applyFill="1"/>
    <xf numFmtId="8" fontId="19" fillId="0" borderId="0" xfId="10" applyNumberFormat="1" applyFont="1" applyFill="1" applyAlignment="1">
      <alignment horizontal="center"/>
    </xf>
    <xf numFmtId="165" fontId="19" fillId="0" borderId="0" xfId="8" applyNumberFormat="1" applyFont="1" applyFill="1" applyAlignment="1">
      <alignment horizontal="center"/>
    </xf>
    <xf numFmtId="164" fontId="19" fillId="0" borderId="0" xfId="8" applyNumberFormat="1" applyFont="1" applyFill="1" applyAlignment="1">
      <alignment horizontal="center"/>
    </xf>
    <xf numFmtId="0" fontId="19" fillId="4" borderId="0" xfId="7" applyFont="1" applyFill="1"/>
    <xf numFmtId="0" fontId="19" fillId="4" borderId="0" xfId="7" quotePrefix="1" applyFont="1" applyFill="1" applyAlignment="1">
      <alignment horizontal="left"/>
    </xf>
    <xf numFmtId="14" fontId="18" fillId="4" borderId="0" xfId="8" applyNumberFormat="1" applyFont="1" applyFill="1" applyAlignment="1">
      <alignment horizontal="left"/>
    </xf>
    <xf numFmtId="0" fontId="19" fillId="0" borderId="0" xfId="8" quotePrefix="1" applyFont="1" applyFill="1" applyAlignment="1">
      <alignment horizontal="center"/>
    </xf>
    <xf numFmtId="0" fontId="18" fillId="0" borderId="0" xfId="0" quotePrefix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0" fontId="18" fillId="0" borderId="0" xfId="13" applyNumberFormat="1" applyFont="1" applyAlignment="1">
      <alignment horizontal="center" vertical="center" wrapText="1"/>
    </xf>
    <xf numFmtId="164" fontId="19" fillId="0" borderId="0" xfId="3" applyNumberFormat="1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164" fontId="19" fillId="0" borderId="0" xfId="10" applyNumberFormat="1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quotePrefix="1" applyFont="1" applyBorder="1" applyAlignment="1">
      <alignment horizontal="center" vertical="center" wrapText="1"/>
    </xf>
    <xf numFmtId="164" fontId="19" fillId="0" borderId="0" xfId="0" applyNumberFormat="1" applyFont="1" applyAlignment="1">
      <alignment horizontal="center"/>
    </xf>
    <xf numFmtId="0" fontId="18" fillId="0" borderId="0" xfId="0" applyFont="1" applyFill="1"/>
    <xf numFmtId="0" fontId="18" fillId="0" borderId="0" xfId="0" applyFont="1" applyAlignment="1">
      <alignment horizontal="center"/>
    </xf>
    <xf numFmtId="3" fontId="18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171" fontId="18" fillId="0" borderId="0" xfId="13" applyNumberFormat="1" applyFont="1" applyAlignment="1">
      <alignment horizontal="center" vertical="center" wrapText="1"/>
    </xf>
    <xf numFmtId="164" fontId="19" fillId="0" borderId="0" xfId="3" applyNumberFormat="1" applyFont="1" applyFill="1" applyAlignment="1">
      <alignment horizontal="center"/>
    </xf>
    <xf numFmtId="44" fontId="19" fillId="0" borderId="0" xfId="3" applyFont="1" applyFill="1" applyAlignment="1">
      <alignment horizontal="center" vertical="center" wrapText="1"/>
    </xf>
    <xf numFmtId="0" fontId="19" fillId="0" borderId="0" xfId="0" quotePrefix="1" applyFont="1" applyAlignment="1">
      <alignment horizontal="right"/>
    </xf>
    <xf numFmtId="7" fontId="19" fillId="0" borderId="0" xfId="3" applyNumberFormat="1" applyFont="1" applyAlignment="1">
      <alignment horizontal="center"/>
    </xf>
    <xf numFmtId="10" fontId="19" fillId="0" borderId="0" xfId="13" applyNumberFormat="1" applyFont="1"/>
    <xf numFmtId="44" fontId="19" fillId="0" borderId="0" xfId="3" applyFont="1"/>
    <xf numFmtId="44" fontId="19" fillId="0" borderId="0" xfId="3" applyFont="1" applyFill="1" applyAlignment="1">
      <alignment horizontal="center"/>
    </xf>
    <xf numFmtId="0" fontId="18" fillId="0" borderId="0" xfId="0" applyFont="1" applyFill="1" applyAlignment="1"/>
    <xf numFmtId="0" fontId="18" fillId="0" borderId="0" xfId="0" quotePrefix="1" applyFont="1" applyFill="1" applyAlignment="1">
      <alignment horizontal="center"/>
    </xf>
    <xf numFmtId="165" fontId="18" fillId="0" borderId="0" xfId="0" applyNumberFormat="1" applyFont="1" applyFill="1" applyAlignment="1">
      <alignment horizontal="center"/>
    </xf>
    <xf numFmtId="0" fontId="19" fillId="0" borderId="0" xfId="0" applyFont="1" applyFill="1" applyAlignment="1"/>
    <xf numFmtId="0" fontId="18" fillId="0" borderId="0" xfId="13" applyNumberFormat="1" applyFont="1" applyFill="1" applyAlignment="1">
      <alignment horizontal="center" vertical="center" wrapText="1"/>
    </xf>
    <xf numFmtId="0" fontId="19" fillId="0" borderId="0" xfId="0" quotePrefix="1" applyFont="1" applyFill="1" applyBorder="1" applyAlignment="1">
      <alignment horizontal="center"/>
    </xf>
    <xf numFmtId="164" fontId="19" fillId="0" borderId="0" xfId="3" applyNumberFormat="1" applyFont="1" applyFill="1" applyAlignment="1">
      <alignment horizontal="center" vertical="center" wrapText="1"/>
    </xf>
    <xf numFmtId="164" fontId="18" fillId="0" borderId="0" xfId="0" applyNumberFormat="1" applyFont="1" applyFill="1" applyAlignment="1">
      <alignment horizontal="center" vertical="center" wrapText="1"/>
    </xf>
    <xf numFmtId="164" fontId="19" fillId="0" borderId="0" xfId="13" applyNumberFormat="1" applyFont="1" applyFill="1"/>
    <xf numFmtId="0" fontId="19" fillId="0" borderId="0" xfId="0" applyFont="1" applyFill="1" applyAlignment="1">
      <alignment horizontal="left"/>
    </xf>
    <xf numFmtId="9" fontId="19" fillId="0" borderId="0" xfId="13" applyFont="1" applyFill="1"/>
    <xf numFmtId="0" fontId="19" fillId="0" borderId="0" xfId="0" applyFont="1" applyFill="1" applyBorder="1"/>
    <xf numFmtId="164" fontId="19" fillId="0" borderId="0" xfId="0" applyNumberFormat="1" applyFont="1" applyFill="1"/>
    <xf numFmtId="0" fontId="19" fillId="0" borderId="0" xfId="0" applyFont="1" applyFill="1" applyProtection="1"/>
    <xf numFmtId="0" fontId="19" fillId="0" borderId="0" xfId="0" applyFont="1" applyFill="1" applyAlignment="1" applyProtection="1">
      <alignment horizontal="center"/>
    </xf>
    <xf numFmtId="0" fontId="19" fillId="0" borderId="0" xfId="0" quotePrefix="1" applyFont="1" applyFill="1" applyBorder="1" applyAlignment="1" applyProtection="1">
      <alignment horizontal="center"/>
    </xf>
    <xf numFmtId="0" fontId="19" fillId="0" borderId="0" xfId="0" quotePrefix="1" applyFont="1" applyFill="1" applyAlignment="1" applyProtection="1">
      <alignment horizontal="left"/>
    </xf>
    <xf numFmtId="164" fontId="19" fillId="0" borderId="0" xfId="0" applyNumberFormat="1" applyFont="1" applyFill="1" applyAlignment="1" applyProtection="1">
      <alignment horizontal="center"/>
    </xf>
    <xf numFmtId="0" fontId="25" fillId="0" borderId="0" xfId="0" applyFont="1" applyFill="1" applyAlignment="1">
      <alignment horizontal="left"/>
    </xf>
    <xf numFmtId="0" fontId="18" fillId="0" borderId="0" xfId="14" applyFont="1" applyFill="1"/>
    <xf numFmtId="0" fontId="18" fillId="0" borderId="0" xfId="14" applyFont="1" applyFill="1" applyAlignment="1">
      <alignment horizontal="center"/>
    </xf>
    <xf numFmtId="3" fontId="18" fillId="0" borderId="0" xfId="14" applyNumberFormat="1" applyFont="1" applyFill="1" applyAlignment="1">
      <alignment horizontal="center" vertical="center" wrapText="1"/>
    </xf>
    <xf numFmtId="0" fontId="18" fillId="0" borderId="0" xfId="14" applyFont="1" applyFill="1" applyAlignment="1">
      <alignment horizontal="center" vertical="center" wrapText="1"/>
    </xf>
    <xf numFmtId="173" fontId="18" fillId="0" borderId="0" xfId="15" applyNumberFormat="1" applyFont="1" applyFill="1" applyAlignment="1">
      <alignment horizontal="center" vertical="center" wrapText="1"/>
    </xf>
    <xf numFmtId="3" fontId="18" fillId="0" borderId="0" xfId="14" quotePrefix="1" applyNumberFormat="1" applyFont="1" applyFill="1" applyAlignment="1">
      <alignment horizontal="center" vertical="center" wrapText="1"/>
    </xf>
    <xf numFmtId="0" fontId="19" fillId="0" borderId="0" xfId="14" applyFont="1" applyFill="1" applyAlignment="1">
      <alignment horizontal="center"/>
    </xf>
    <xf numFmtId="0" fontId="19" fillId="0" borderId="0" xfId="14" quotePrefix="1" applyFont="1" applyFill="1" applyAlignment="1">
      <alignment horizontal="left"/>
    </xf>
    <xf numFmtId="0" fontId="19" fillId="0" borderId="0" xfId="14" applyFont="1" applyFill="1"/>
    <xf numFmtId="0" fontId="19" fillId="0" borderId="0" xfId="14" applyFont="1" applyFill="1" applyAlignment="1">
      <alignment horizontal="right"/>
    </xf>
    <xf numFmtId="10" fontId="19" fillId="0" borderId="0" xfId="15" applyNumberFormat="1" applyFont="1" applyFill="1" applyAlignment="1">
      <alignment horizontal="center"/>
    </xf>
    <xf numFmtId="0" fontId="19" fillId="0" borderId="0" xfId="14" quotePrefix="1" applyFont="1" applyFill="1" applyAlignment="1">
      <alignment horizontal="center"/>
    </xf>
    <xf numFmtId="9" fontId="19" fillId="0" borderId="0" xfId="14" quotePrefix="1" applyNumberFormat="1" applyFont="1" applyFill="1" applyAlignment="1">
      <alignment horizontal="left"/>
    </xf>
    <xf numFmtId="8" fontId="19" fillId="0" borderId="0" xfId="14" applyNumberFormat="1" applyFont="1" applyFill="1"/>
    <xf numFmtId="10" fontId="19" fillId="0" borderId="0" xfId="14" applyNumberFormat="1" applyFont="1" applyFill="1" applyAlignment="1">
      <alignment horizontal="left"/>
    </xf>
    <xf numFmtId="8" fontId="20" fillId="0" borderId="0" xfId="10" applyNumberFormat="1" applyFont="1" applyFill="1" applyAlignment="1">
      <alignment horizontal="left"/>
    </xf>
    <xf numFmtId="0" fontId="24" fillId="0" borderId="0" xfId="14" applyFont="1" applyFill="1"/>
    <xf numFmtId="165" fontId="19" fillId="0" borderId="0" xfId="10" applyNumberFormat="1" applyFont="1" applyFill="1" applyAlignment="1">
      <alignment horizontal="center"/>
    </xf>
    <xf numFmtId="165" fontId="19" fillId="0" borderId="0" xfId="14" applyNumberFormat="1" applyFont="1" applyAlignment="1">
      <alignment horizontal="center"/>
    </xf>
    <xf numFmtId="164" fontId="19" fillId="0" borderId="0" xfId="14" applyNumberFormat="1" applyFont="1" applyAlignment="1">
      <alignment horizontal="center"/>
    </xf>
    <xf numFmtId="0" fontId="19" fillId="0" borderId="0" xfId="14" applyFont="1" applyAlignment="1">
      <alignment horizontal="center"/>
    </xf>
    <xf numFmtId="0" fontId="18" fillId="0" borderId="0" xfId="0" applyFont="1" applyFill="1" applyAlignment="1">
      <alignment horizontal="center"/>
    </xf>
    <xf numFmtId="173" fontId="18" fillId="0" borderId="0" xfId="0" applyNumberFormat="1" applyFont="1" applyFill="1" applyAlignment="1">
      <alignment horizontal="center" vertical="center" wrapText="1"/>
    </xf>
    <xf numFmtId="8" fontId="19" fillId="0" borderId="0" xfId="0" applyNumberFormat="1" applyFont="1" applyFill="1" applyAlignment="1">
      <alignment horizontal="center"/>
    </xf>
    <xf numFmtId="0" fontId="24" fillId="0" borderId="0" xfId="0" applyFont="1" applyFill="1" applyAlignment="1"/>
    <xf numFmtId="0" fontId="24" fillId="0" borderId="0" xfId="0" applyFont="1" applyFill="1"/>
    <xf numFmtId="10" fontId="18" fillId="0" borderId="0" xfId="0" quotePrefix="1" applyNumberFormat="1" applyFont="1" applyAlignment="1">
      <alignment horizontal="left"/>
    </xf>
    <xf numFmtId="10" fontId="18" fillId="0" borderId="0" xfId="0" quotePrefix="1" applyNumberFormat="1" applyFont="1" applyAlignment="1">
      <alignment horizontal="center"/>
    </xf>
    <xf numFmtId="10" fontId="18" fillId="0" borderId="0" xfId="13" applyNumberFormat="1" applyFont="1"/>
    <xf numFmtId="7" fontId="19" fillId="0" borderId="0" xfId="3" applyNumberFormat="1" applyFont="1" applyFill="1" applyAlignment="1">
      <alignment horizontal="center"/>
    </xf>
    <xf numFmtId="171" fontId="18" fillId="0" borderId="0" xfId="13" applyNumberFormat="1" applyFont="1" applyFill="1" applyAlignment="1">
      <alignment horizontal="center" vertical="center" wrapText="1"/>
    </xf>
    <xf numFmtId="173" fontId="18" fillId="0" borderId="0" xfId="13" applyNumberFormat="1" applyFont="1" applyFill="1" applyAlignment="1">
      <alignment horizontal="center" vertical="center" wrapText="1"/>
    </xf>
    <xf numFmtId="8" fontId="19" fillId="0" borderId="0" xfId="3" applyNumberFormat="1" applyFont="1" applyFill="1" applyAlignment="1">
      <alignment horizontal="center"/>
    </xf>
    <xf numFmtId="8" fontId="19" fillId="0" borderId="0" xfId="13" applyNumberFormat="1" applyFont="1" applyFill="1" applyAlignment="1">
      <alignment horizontal="center"/>
    </xf>
    <xf numFmtId="164" fontId="19" fillId="0" borderId="0" xfId="13" applyNumberFormat="1" applyFont="1" applyFill="1" applyAlignment="1">
      <alignment horizontal="center"/>
    </xf>
    <xf numFmtId="3" fontId="18" fillId="0" borderId="0" xfId="0" applyNumberFormat="1" applyFont="1" applyAlignment="1">
      <alignment horizontal="center" vertical="center" wrapText="1"/>
    </xf>
    <xf numFmtId="8" fontId="19" fillId="0" borderId="0" xfId="0" applyNumberFormat="1" applyFont="1" applyAlignment="1">
      <alignment horizontal="center"/>
    </xf>
    <xf numFmtId="0" fontId="19" fillId="0" borderId="0" xfId="0" quotePrefix="1" applyFont="1" applyBorder="1" applyAlignment="1">
      <alignment horizontal="center"/>
    </xf>
    <xf numFmtId="8" fontId="19" fillId="0" borderId="0" xfId="3" applyNumberFormat="1" applyFont="1" applyAlignment="1">
      <alignment horizontal="center"/>
    </xf>
    <xf numFmtId="174" fontId="19" fillId="0" borderId="0" xfId="0" applyNumberFormat="1" applyFont="1" applyAlignment="1">
      <alignment horizontal="center"/>
    </xf>
    <xf numFmtId="10" fontId="18" fillId="0" borderId="0" xfId="0" applyNumberFormat="1" applyFont="1" applyFill="1" applyAlignment="1">
      <alignment horizontal="center"/>
    </xf>
    <xf numFmtId="172" fontId="18" fillId="0" borderId="0" xfId="13" applyNumberFormat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/>
    <xf numFmtId="0" fontId="18" fillId="0" borderId="0" xfId="0" applyFont="1" applyAlignment="1"/>
    <xf numFmtId="0" fontId="19" fillId="0" borderId="0" xfId="14" applyFont="1" applyFill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Fill="1" applyAlignment="1"/>
    <xf numFmtId="0" fontId="18" fillId="0" borderId="0" xfId="0" applyFont="1" applyFill="1" applyAlignment="1"/>
    <xf numFmtId="0" fontId="19" fillId="0" borderId="0" xfId="14" applyFont="1" applyFill="1" applyAlignment="1"/>
    <xf numFmtId="0" fontId="18" fillId="0" borderId="0" xfId="14" applyFont="1" applyFill="1" applyAlignment="1"/>
    <xf numFmtId="3" fontId="18" fillId="0" borderId="0" xfId="0" applyNumberFormat="1" applyFont="1" applyAlignment="1">
      <alignment horizontal="center" vertical="center" wrapText="1"/>
    </xf>
    <xf numFmtId="169" fontId="2" fillId="0" borderId="0" xfId="3" applyNumberFormat="1" applyFont="1"/>
    <xf numFmtId="0" fontId="2" fillId="0" borderId="0" xfId="14" applyFont="1"/>
    <xf numFmtId="0" fontId="2" fillId="0" borderId="0" xfId="14" applyFont="1" applyAlignment="1">
      <alignment horizontal="center" vertical="center" wrapText="1"/>
    </xf>
    <xf numFmtId="164" fontId="1" fillId="0" borderId="0" xfId="14" applyNumberFormat="1" applyFill="1" applyAlignment="1">
      <alignment horizontal="center"/>
    </xf>
    <xf numFmtId="0" fontId="1" fillId="0" borderId="0" xfId="14" applyFill="1"/>
    <xf numFmtId="0" fontId="1" fillId="0" borderId="0" xfId="14" applyFill="1" applyAlignment="1">
      <alignment horizontal="right"/>
    </xf>
    <xf numFmtId="0" fontId="1" fillId="0" borderId="0" xfId="14" applyFill="1" applyAlignment="1">
      <alignment horizontal="center"/>
    </xf>
    <xf numFmtId="164" fontId="1" fillId="0" borderId="0" xfId="10" applyNumberFormat="1" applyFont="1" applyFill="1" applyAlignment="1">
      <alignment horizontal="center"/>
    </xf>
    <xf numFmtId="0" fontId="1" fillId="0" borderId="0" xfId="14" quotePrefix="1" applyFill="1" applyAlignment="1">
      <alignment horizontal="right"/>
    </xf>
    <xf numFmtId="0" fontId="1" fillId="0" borderId="0" xfId="14"/>
    <xf numFmtId="0" fontId="1" fillId="0" borderId="0" xfId="14" applyAlignment="1">
      <alignment horizontal="center"/>
    </xf>
    <xf numFmtId="165" fontId="1" fillId="0" borderId="0" xfId="14" applyNumberFormat="1" applyFill="1" applyAlignment="1">
      <alignment horizontal="center"/>
    </xf>
    <xf numFmtId="165" fontId="1" fillId="0" borderId="0" xfId="14" applyNumberFormat="1" applyAlignment="1">
      <alignment horizontal="center"/>
    </xf>
    <xf numFmtId="3" fontId="18" fillId="0" borderId="0" xfId="14" applyNumberFormat="1" applyFont="1" applyAlignment="1">
      <alignment horizontal="center" vertical="center" wrapText="1"/>
    </xf>
    <xf numFmtId="0" fontId="19" fillId="0" borderId="0" xfId="14" quotePrefix="1" applyFont="1" applyFill="1" applyBorder="1" applyAlignment="1">
      <alignment horizontal="center" vertical="center" wrapText="1"/>
    </xf>
    <xf numFmtId="164" fontId="19" fillId="0" borderId="0" xfId="14" applyNumberFormat="1" applyFont="1" applyFill="1" applyAlignment="1">
      <alignment horizontal="center"/>
    </xf>
    <xf numFmtId="170" fontId="19" fillId="0" borderId="0" xfId="14" applyNumberFormat="1" applyFont="1" applyFill="1" applyAlignment="1">
      <alignment horizontal="center"/>
    </xf>
    <xf numFmtId="168" fontId="19" fillId="0" borderId="0" xfId="14" applyNumberFormat="1" applyFont="1" applyFill="1" applyAlignment="1">
      <alignment horizontal="center" vertical="center"/>
    </xf>
    <xf numFmtId="168" fontId="19" fillId="0" borderId="0" xfId="14" quotePrefix="1" applyNumberFormat="1" applyFont="1" applyFill="1" applyAlignment="1">
      <alignment horizontal="center" vertical="center"/>
    </xf>
    <xf numFmtId="0" fontId="26" fillId="0" borderId="0" xfId="14" applyFont="1" applyFill="1" applyAlignment="1">
      <alignment wrapText="1"/>
    </xf>
    <xf numFmtId="165" fontId="18" fillId="0" borderId="0" xfId="14" applyNumberFormat="1" applyFont="1" applyAlignment="1"/>
    <xf numFmtId="0" fontId="18" fillId="0" borderId="0" xfId="14" applyFont="1" applyAlignment="1">
      <alignment horizontal="center"/>
    </xf>
    <xf numFmtId="164" fontId="27" fillId="0" borderId="0" xfId="14" applyNumberFormat="1" applyFont="1" applyFill="1" applyAlignment="1">
      <alignment horizontal="center"/>
    </xf>
    <xf numFmtId="165" fontId="19" fillId="0" borderId="0" xfId="14" applyNumberFormat="1" applyFont="1" applyFill="1" applyAlignment="1">
      <alignment horizontal="center"/>
    </xf>
    <xf numFmtId="0" fontId="17" fillId="0" borderId="0" xfId="14" applyFont="1" applyFill="1" applyAlignment="1"/>
    <xf numFmtId="0" fontId="17" fillId="0" borderId="0" xfId="14" quotePrefix="1" applyFont="1" applyFill="1" applyAlignment="1"/>
    <xf numFmtId="0" fontId="24" fillId="0" borderId="0" xfId="14" applyFont="1" applyFill="1" applyAlignment="1"/>
    <xf numFmtId="0" fontId="1" fillId="0" borderId="5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9" fillId="0" borderId="0" xfId="0" quotePrefix="1" applyFont="1"/>
    <xf numFmtId="0" fontId="1" fillId="0" borderId="0" xfId="0" applyFont="1" applyFill="1" applyAlignment="1">
      <alignment horizontal="center"/>
    </xf>
    <xf numFmtId="0" fontId="18" fillId="0" borderId="0" xfId="14" applyFont="1" applyAlignment="1"/>
    <xf numFmtId="0" fontId="19" fillId="0" borderId="0" xfId="14" applyFont="1" applyAlignment="1"/>
    <xf numFmtId="0" fontId="18" fillId="0" borderId="0" xfId="14" applyNumberFormat="1" applyFont="1" applyAlignment="1"/>
    <xf numFmtId="0" fontId="2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167" fontId="3" fillId="0" borderId="13" xfId="13" applyNumberFormat="1" applyFont="1" applyFill="1" applyBorder="1" applyAlignment="1">
      <alignment horizontal="center" vertical="center"/>
    </xf>
    <xf numFmtId="0" fontId="3" fillId="0" borderId="0" xfId="11" applyFont="1" applyFill="1" applyAlignment="1">
      <alignment vertical="center"/>
    </xf>
    <xf numFmtId="44" fontId="3" fillId="0" borderId="18" xfId="11" applyNumberFormat="1" applyFont="1" applyFill="1" applyBorder="1" applyAlignment="1">
      <alignment horizontal="right" vertical="center"/>
    </xf>
    <xf numFmtId="44" fontId="3" fillId="0" borderId="18" xfId="11" applyNumberFormat="1" applyFont="1" applyFill="1" applyBorder="1" applyAlignment="1">
      <alignment vertical="center"/>
    </xf>
    <xf numFmtId="44" fontId="3" fillId="0" borderId="19" xfId="3" applyFont="1" applyFill="1" applyBorder="1" applyAlignment="1">
      <alignment vertical="center"/>
    </xf>
    <xf numFmtId="44" fontId="3" fillId="0" borderId="5" xfId="11" applyNumberFormat="1" applyFont="1" applyFill="1" applyBorder="1" applyAlignment="1">
      <alignment horizontal="right" vertical="center"/>
    </xf>
    <xf numFmtId="44" fontId="3" fillId="0" borderId="5" xfId="11" applyNumberFormat="1" applyFont="1" applyFill="1" applyBorder="1" applyAlignment="1">
      <alignment vertical="center"/>
    </xf>
    <xf numFmtId="44" fontId="3" fillId="0" borderId="0" xfId="11" applyNumberFormat="1" applyFont="1" applyFill="1" applyBorder="1" applyAlignment="1">
      <alignment horizontal="right" vertical="center"/>
    </xf>
    <xf numFmtId="44" fontId="3" fillId="0" borderId="0" xfId="11" applyNumberFormat="1" applyFont="1" applyFill="1" applyBorder="1" applyAlignment="1">
      <alignment vertical="center"/>
    </xf>
    <xf numFmtId="44" fontId="3" fillId="0" borderId="7" xfId="3" applyFont="1" applyFill="1" applyBorder="1" applyAlignment="1">
      <alignment vertical="center"/>
    </xf>
    <xf numFmtId="44" fontId="3" fillId="0" borderId="13" xfId="11" applyNumberFormat="1" applyFont="1" applyFill="1" applyBorder="1" applyAlignment="1">
      <alignment horizontal="right" vertical="center"/>
    </xf>
    <xf numFmtId="44" fontId="3" fillId="0" borderId="13" xfId="11" applyNumberFormat="1" applyFont="1" applyFill="1" applyBorder="1" applyAlignment="1">
      <alignment vertical="center"/>
    </xf>
    <xf numFmtId="44" fontId="3" fillId="0" borderId="53" xfId="3" applyFont="1" applyFill="1" applyBorder="1" applyAlignment="1">
      <alignment vertical="center"/>
    </xf>
    <xf numFmtId="44" fontId="3" fillId="0" borderId="23" xfId="11" applyNumberFormat="1" applyFont="1" applyFill="1" applyBorder="1" applyAlignment="1">
      <alignment horizontal="right" vertical="center"/>
    </xf>
    <xf numFmtId="44" fontId="3" fillId="0" borderId="23" xfId="11" applyNumberFormat="1" applyFont="1" applyFill="1" applyBorder="1" applyAlignment="1">
      <alignment vertical="center"/>
    </xf>
    <xf numFmtId="44" fontId="3" fillId="0" borderId="0" xfId="11" applyNumberFormat="1" applyFont="1" applyFill="1" applyAlignment="1">
      <alignment horizontal="right"/>
    </xf>
    <xf numFmtId="44" fontId="3" fillId="0" borderId="0" xfId="11" applyNumberFormat="1" applyFont="1" applyFill="1"/>
    <xf numFmtId="0" fontId="3" fillId="0" borderId="10" xfId="11" applyFont="1" applyFill="1" applyBorder="1" applyAlignment="1">
      <alignment horizontal="center" vertical="center"/>
    </xf>
    <xf numFmtId="0" fontId="3" fillId="0" borderId="11" xfId="11" applyFont="1" applyFill="1" applyBorder="1" applyAlignment="1">
      <alignment vertical="center"/>
    </xf>
    <xf numFmtId="0" fontId="2" fillId="0" borderId="11" xfId="11" applyFont="1" applyFill="1" applyBorder="1" applyAlignment="1">
      <alignment vertical="center"/>
    </xf>
    <xf numFmtId="167" fontId="3" fillId="0" borderId="11" xfId="13" applyNumberFormat="1" applyFont="1" applyFill="1" applyBorder="1" applyAlignment="1">
      <alignment horizontal="center" vertical="center"/>
    </xf>
    <xf numFmtId="44" fontId="3" fillId="0" borderId="11" xfId="11" applyNumberFormat="1" applyFont="1" applyFill="1" applyBorder="1" applyAlignment="1">
      <alignment horizontal="right" vertical="center"/>
    </xf>
    <xf numFmtId="44" fontId="3" fillId="0" borderId="11" xfId="11" applyNumberFormat="1" applyFont="1" applyFill="1" applyBorder="1" applyAlignment="1">
      <alignment vertical="center"/>
    </xf>
    <xf numFmtId="44" fontId="3" fillId="0" borderId="12" xfId="3" applyFont="1" applyFill="1" applyBorder="1" applyAlignment="1">
      <alignment vertical="center"/>
    </xf>
    <xf numFmtId="0" fontId="1" fillId="0" borderId="10" xfId="11" applyFont="1" applyFill="1" applyBorder="1" applyAlignment="1">
      <alignment horizontal="center" vertical="center"/>
    </xf>
    <xf numFmtId="0" fontId="1" fillId="0" borderId="11" xfId="11" applyFont="1" applyFill="1" applyBorder="1" applyAlignment="1">
      <alignment vertical="center"/>
    </xf>
    <xf numFmtId="0" fontId="2" fillId="0" borderId="11" xfId="11" applyFont="1" applyFill="1" applyBorder="1" applyAlignment="1">
      <alignment vertical="center" wrapText="1"/>
    </xf>
    <xf numFmtId="0" fontId="1" fillId="0" borderId="0" xfId="11" applyFont="1" applyFill="1"/>
    <xf numFmtId="0" fontId="2" fillId="0" borderId="13" xfId="0" applyFont="1" applyFill="1" applyBorder="1" applyAlignment="1">
      <alignment horizontal="left" vertical="center" wrapText="1"/>
    </xf>
    <xf numFmtId="0" fontId="1" fillId="0" borderId="22" xfId="11" applyFont="1" applyFill="1" applyBorder="1" applyAlignment="1">
      <alignment horizontal="center" vertical="center" wrapText="1"/>
    </xf>
    <xf numFmtId="0" fontId="1" fillId="0" borderId="23" xfId="11" applyFont="1" applyFill="1" applyBorder="1" applyAlignment="1">
      <alignment horizontal="left" vertical="center" wrapText="1"/>
    </xf>
    <xf numFmtId="0" fontId="1" fillId="0" borderId="33" xfId="11" applyFont="1" applyFill="1" applyBorder="1" applyAlignment="1">
      <alignment horizontal="center" vertical="center" wrapText="1"/>
    </xf>
    <xf numFmtId="0" fontId="1" fillId="0" borderId="13" xfId="11" applyFont="1" applyFill="1" applyBorder="1" applyAlignment="1">
      <alignment horizontal="left" vertical="center" wrapText="1"/>
    </xf>
    <xf numFmtId="0" fontId="2" fillId="0" borderId="18" xfId="11" applyFont="1" applyFill="1" applyBorder="1" applyAlignment="1">
      <alignment horizontal="left" vertical="center" wrapText="1"/>
    </xf>
    <xf numFmtId="0" fontId="12" fillId="0" borderId="0" xfId="11" applyFont="1" applyFill="1" applyBorder="1" applyAlignment="1"/>
    <xf numFmtId="0" fontId="3" fillId="0" borderId="22" xfId="0" applyFont="1" applyFill="1" applyBorder="1" applyAlignment="1">
      <alignment horizontal="center" vertical="center" wrapText="1"/>
    </xf>
    <xf numFmtId="0" fontId="19" fillId="0" borderId="0" xfId="14" applyFont="1" applyFill="1" applyAlignment="1">
      <alignment horizontal="center"/>
    </xf>
    <xf numFmtId="0" fontId="18" fillId="0" borderId="0" xfId="14" applyFont="1" applyAlignment="1">
      <alignment horizontal="center" vertical="center" wrapText="1"/>
    </xf>
    <xf numFmtId="0" fontId="19" fillId="0" borderId="0" xfId="14" applyFont="1" applyAlignment="1">
      <alignment horizontal="center"/>
    </xf>
    <xf numFmtId="0" fontId="19" fillId="0" borderId="0" xfId="14" applyFont="1" applyFill="1" applyAlignment="1"/>
    <xf numFmtId="0" fontId="3" fillId="0" borderId="25" xfId="11" applyFont="1" applyFill="1" applyBorder="1" applyAlignment="1">
      <alignment horizontal="center" vertical="center"/>
    </xf>
    <xf numFmtId="0" fontId="3" fillId="0" borderId="25" xfId="11" applyFont="1" applyFill="1" applyBorder="1" applyAlignment="1">
      <alignment vertical="center"/>
    </xf>
    <xf numFmtId="9" fontId="19" fillId="0" borderId="0" xfId="14" applyNumberFormat="1" applyFont="1"/>
    <xf numFmtId="0" fontId="29" fillId="0" borderId="0" xfId="14" applyFont="1" applyFill="1" applyAlignment="1">
      <alignment vertical="center"/>
    </xf>
    <xf numFmtId="175" fontId="18" fillId="0" borderId="0" xfId="13" applyNumberFormat="1" applyFont="1" applyFill="1" applyAlignment="1">
      <alignment horizontal="center" vertical="center" wrapText="1"/>
    </xf>
    <xf numFmtId="49" fontId="1" fillId="0" borderId="26" xfId="0" quotePrefix="1" applyNumberFormat="1" applyFont="1" applyFill="1" applyBorder="1" applyAlignment="1">
      <alignment horizontal="left" vertical="center"/>
    </xf>
    <xf numFmtId="49" fontId="1" fillId="0" borderId="3" xfId="0" quotePrefix="1" applyNumberFormat="1" applyFont="1" applyFill="1" applyBorder="1" applyAlignment="1">
      <alignment horizontal="left" vertical="center"/>
    </xf>
    <xf numFmtId="8" fontId="3" fillId="0" borderId="3" xfId="3" applyNumberFormat="1" applyFont="1" applyFill="1" applyBorder="1" applyAlignment="1">
      <alignment horizontal="center" vertical="center"/>
    </xf>
    <xf numFmtId="44" fontId="3" fillId="0" borderId="26" xfId="3" applyFont="1" applyFill="1" applyBorder="1" applyAlignment="1">
      <alignment horizontal="center" vertical="center"/>
    </xf>
    <xf numFmtId="44" fontId="3" fillId="0" borderId="26" xfId="3" applyFont="1" applyFill="1" applyBorder="1" applyAlignment="1">
      <alignment vertical="center"/>
    </xf>
    <xf numFmtId="8" fontId="3" fillId="0" borderId="29" xfId="3" applyNumberFormat="1" applyFont="1" applyFill="1" applyBorder="1" applyAlignment="1">
      <alignment horizontal="center" vertical="center"/>
    </xf>
    <xf numFmtId="44" fontId="3" fillId="0" borderId="30" xfId="3" applyFont="1" applyFill="1" applyBorder="1" applyAlignment="1">
      <alignment vertical="center"/>
    </xf>
    <xf numFmtId="49" fontId="1" fillId="0" borderId="2" xfId="0" applyNumberFormat="1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vertical="center"/>
    </xf>
    <xf numFmtId="49" fontId="1" fillId="0" borderId="26" xfId="0" quotePrefix="1" applyNumberFormat="1" applyFont="1" applyFill="1" applyBorder="1" applyAlignment="1">
      <alignment horizontal="left" vertical="center" wrapText="1"/>
    </xf>
    <xf numFmtId="0" fontId="19" fillId="0" borderId="0" xfId="14" applyFont="1" applyFill="1" applyAlignment="1">
      <alignment wrapText="1"/>
    </xf>
    <xf numFmtId="0" fontId="19" fillId="0" borderId="0" xfId="14" applyFont="1" applyFill="1" applyAlignment="1">
      <alignment horizontal="center"/>
    </xf>
    <xf numFmtId="0" fontId="18" fillId="0" borderId="0" xfId="14" applyFont="1" applyAlignment="1">
      <alignment horizontal="center" vertical="center" wrapText="1"/>
    </xf>
    <xf numFmtId="0" fontId="19" fillId="0" borderId="0" xfId="14" applyFont="1" applyAlignment="1">
      <alignment horizontal="center"/>
    </xf>
    <xf numFmtId="165" fontId="18" fillId="0" borderId="0" xfId="14" applyNumberFormat="1" applyFont="1" applyAlignment="1">
      <alignment horizontal="center"/>
    </xf>
    <xf numFmtId="0" fontId="19" fillId="0" borderId="0" xfId="0" applyFont="1" applyFill="1" applyAlignment="1">
      <alignment horizontal="center"/>
    </xf>
    <xf numFmtId="164" fontId="18" fillId="0" borderId="0" xfId="0" applyNumberFormat="1" applyFont="1" applyFill="1" applyAlignment="1">
      <alignment horizontal="center" vertical="center" wrapText="1"/>
    </xf>
    <xf numFmtId="0" fontId="22" fillId="0" borderId="0" xfId="14" applyFont="1" applyFill="1"/>
    <xf numFmtId="175" fontId="19" fillId="0" borderId="0" xfId="0" applyNumberFormat="1" applyFont="1"/>
    <xf numFmtId="175" fontId="18" fillId="0" borderId="0" xfId="13" applyNumberFormat="1" applyFont="1" applyAlignment="1">
      <alignment horizontal="center"/>
    </xf>
    <xf numFmtId="173" fontId="18" fillId="0" borderId="0" xfId="13" applyNumberFormat="1" applyFont="1" applyAlignment="1">
      <alignment horizontal="center"/>
    </xf>
    <xf numFmtId="173" fontId="19" fillId="0" borderId="0" xfId="3" applyNumberFormat="1" applyFont="1" applyFill="1" applyAlignment="1">
      <alignment horizontal="center"/>
    </xf>
    <xf numFmtId="173" fontId="18" fillId="0" borderId="0" xfId="14" applyNumberFormat="1" applyFont="1" applyAlignment="1">
      <alignment horizontal="center" vertical="center" wrapText="1"/>
    </xf>
    <xf numFmtId="8" fontId="19" fillId="0" borderId="0" xfId="0" applyNumberFormat="1" applyFont="1" applyFill="1"/>
    <xf numFmtId="0" fontId="19" fillId="0" borderId="0" xfId="0" applyFont="1" applyFill="1" applyAlignment="1">
      <alignment horizontal="center"/>
    </xf>
    <xf numFmtId="164" fontId="18" fillId="0" borderId="0" xfId="0" applyNumberFormat="1" applyFont="1" applyFill="1" applyAlignment="1">
      <alignment horizontal="center" vertical="center" wrapText="1"/>
    </xf>
    <xf numFmtId="0" fontId="19" fillId="0" borderId="0" xfId="0" applyFont="1" applyAlignment="1"/>
    <xf numFmtId="0" fontId="19" fillId="0" borderId="0" xfId="14" applyFont="1" applyFill="1" applyAlignment="1"/>
    <xf numFmtId="0" fontId="1" fillId="0" borderId="0" xfId="6" applyFont="1" applyFill="1" applyAlignment="1" applyProtection="1">
      <alignment horizontal="left"/>
    </xf>
    <xf numFmtId="44" fontId="0" fillId="0" borderId="0" xfId="3" applyNumberFormat="1" applyFont="1" applyAlignment="1">
      <alignment horizontal="center"/>
    </xf>
    <xf numFmtId="44" fontId="0" fillId="0" borderId="0" xfId="3" applyNumberFormat="1" applyFont="1" applyFill="1" applyAlignment="1">
      <alignment horizontal="center"/>
    </xf>
    <xf numFmtId="44" fontId="11" fillId="0" borderId="0" xfId="3" applyNumberFormat="1" applyFont="1" applyFill="1" applyAlignment="1">
      <alignment horizontal="center"/>
    </xf>
    <xf numFmtId="44" fontId="1" fillId="0" borderId="0" xfId="3" applyNumberFormat="1" applyFont="1" applyAlignment="1">
      <alignment horizontal="center" wrapText="1"/>
    </xf>
    <xf numFmtId="44" fontId="13" fillId="0" borderId="0" xfId="3" applyNumberFormat="1" applyFont="1" applyFill="1" applyAlignment="1">
      <alignment horizontal="center"/>
    </xf>
    <xf numFmtId="44" fontId="1" fillId="0" borderId="0" xfId="3" applyNumberFormat="1" applyFont="1" applyFill="1" applyAlignment="1">
      <alignment horizontal="center"/>
    </xf>
    <xf numFmtId="44" fontId="14" fillId="0" borderId="0" xfId="3" applyNumberFormat="1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/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vertical="top" wrapText="1"/>
    </xf>
    <xf numFmtId="164" fontId="19" fillId="0" borderId="0" xfId="0" applyNumberFormat="1" applyFont="1"/>
    <xf numFmtId="0" fontId="18" fillId="0" borderId="0" xfId="14" applyFont="1" applyAlignment="1">
      <alignment horizontal="center" vertical="center" wrapText="1"/>
    </xf>
    <xf numFmtId="0" fontId="18" fillId="0" borderId="0" xfId="8" applyFont="1" applyFill="1" applyAlignment="1">
      <alignment horizontal="center" vertical="center" wrapText="1"/>
    </xf>
    <xf numFmtId="0" fontId="19" fillId="0" borderId="0" xfId="8" applyFont="1" applyFill="1" applyAlignment="1">
      <alignment horizontal="center"/>
    </xf>
    <xf numFmtId="0" fontId="18" fillId="0" borderId="0" xfId="7" applyFont="1" applyAlignment="1">
      <alignment horizontal="center"/>
    </xf>
    <xf numFmtId="8" fontId="13" fillId="0" borderId="0" xfId="3" applyNumberFormat="1" applyFont="1" applyFill="1" applyAlignment="1">
      <alignment horizontal="center"/>
    </xf>
    <xf numFmtId="8" fontId="1" fillId="0" borderId="0" xfId="3" applyNumberFormat="1" applyFont="1" applyAlignment="1">
      <alignment horizontal="center" wrapText="1"/>
    </xf>
    <xf numFmtId="8" fontId="11" fillId="0" borderId="0" xfId="3" applyNumberFormat="1" applyFont="1" applyFill="1" applyAlignment="1">
      <alignment horizontal="center"/>
    </xf>
    <xf numFmtId="0" fontId="10" fillId="0" borderId="15" xfId="0" applyFont="1" applyBorder="1" applyAlignment="1">
      <alignment vertical="top" wrapText="1"/>
    </xf>
    <xf numFmtId="0" fontId="10" fillId="0" borderId="25" xfId="0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18" fillId="0" borderId="0" xfId="0" quotePrefix="1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/>
    <xf numFmtId="165" fontId="18" fillId="0" borderId="0" xfId="0" applyNumberFormat="1" applyFont="1" applyAlignment="1">
      <alignment horizontal="center"/>
    </xf>
    <xf numFmtId="0" fontId="18" fillId="0" borderId="0" xfId="14" quotePrefix="1" applyFont="1" applyFill="1" applyAlignment="1">
      <alignment horizontal="center" vertical="center" wrapText="1"/>
    </xf>
    <xf numFmtId="0" fontId="19" fillId="0" borderId="0" xfId="14" applyFont="1" applyFill="1" applyAlignment="1">
      <alignment horizontal="center"/>
    </xf>
    <xf numFmtId="0" fontId="18" fillId="0" borderId="0" xfId="14" applyFont="1" applyAlignment="1">
      <alignment horizontal="center" vertical="center" wrapText="1"/>
    </xf>
    <xf numFmtId="0" fontId="19" fillId="0" borderId="0" xfId="14" applyFont="1" applyAlignment="1">
      <alignment horizontal="center"/>
    </xf>
    <xf numFmtId="0" fontId="19" fillId="0" borderId="0" xfId="14" applyFont="1" applyAlignment="1"/>
    <xf numFmtId="165" fontId="18" fillId="0" borderId="0" xfId="14" applyNumberFormat="1" applyFont="1" applyAlignment="1">
      <alignment horizontal="center"/>
    </xf>
    <xf numFmtId="0" fontId="19" fillId="0" borderId="0" xfId="14" quotePrefix="1" applyFont="1" applyFill="1" applyAlignment="1">
      <alignment horizontal="left" vertical="top" wrapText="1"/>
    </xf>
    <xf numFmtId="0" fontId="19" fillId="0" borderId="0" xfId="14" quotePrefix="1" applyFont="1" applyFill="1" applyAlignment="1">
      <alignment horizontal="left" vertical="top"/>
    </xf>
    <xf numFmtId="0" fontId="22" fillId="0" borderId="0" xfId="8" applyFont="1" applyFill="1" applyAlignment="1">
      <alignment horizontal="center"/>
    </xf>
    <xf numFmtId="0" fontId="18" fillId="0" borderId="0" xfId="8" applyFont="1" applyFill="1" applyAlignment="1">
      <alignment horizontal="center" vertical="center" wrapText="1"/>
    </xf>
    <xf numFmtId="0" fontId="19" fillId="0" borderId="0" xfId="8" applyFont="1" applyFill="1" applyAlignment="1">
      <alignment horizontal="center"/>
    </xf>
    <xf numFmtId="0" fontId="19" fillId="0" borderId="0" xfId="8" applyFont="1" applyFill="1" applyAlignment="1"/>
    <xf numFmtId="165" fontId="18" fillId="0" borderId="0" xfId="8" applyNumberFormat="1" applyFont="1" applyFill="1" applyAlignment="1">
      <alignment horizontal="center"/>
    </xf>
    <xf numFmtId="0" fontId="19" fillId="0" borderId="0" xfId="8" applyFont="1" applyFill="1" applyAlignment="1">
      <alignment horizontal="left" wrapText="1"/>
    </xf>
    <xf numFmtId="164" fontId="18" fillId="0" borderId="0" xfId="0" applyNumberFormat="1" applyFont="1" applyAlignment="1">
      <alignment horizontal="center" vertical="center" wrapText="1"/>
    </xf>
    <xf numFmtId="164" fontId="19" fillId="0" borderId="0" xfId="0" applyNumberFormat="1" applyFont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165" fontId="18" fillId="0" borderId="0" xfId="0" applyNumberFormat="1" applyFont="1" applyFill="1" applyAlignment="1">
      <alignment horizontal="center"/>
    </xf>
    <xf numFmtId="0" fontId="18" fillId="0" borderId="0" xfId="0" quotePrefix="1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/>
    <xf numFmtId="44" fontId="9" fillId="0" borderId="41" xfId="3" quotePrefix="1" applyFont="1" applyFill="1" applyBorder="1" applyAlignment="1">
      <alignment horizontal="center" vertical="center"/>
    </xf>
    <xf numFmtId="44" fontId="9" fillId="0" borderId="11" xfId="3" quotePrefix="1" applyFont="1" applyFill="1" applyBorder="1" applyAlignment="1">
      <alignment horizontal="center" vertical="center"/>
    </xf>
    <xf numFmtId="44" fontId="9" fillId="0" borderId="12" xfId="3" quotePrefix="1" applyFont="1" applyFill="1" applyBorder="1" applyAlignment="1">
      <alignment horizontal="center" vertical="center"/>
    </xf>
    <xf numFmtId="0" fontId="2" fillId="0" borderId="14" xfId="11" applyFont="1" applyFill="1" applyBorder="1" applyAlignment="1">
      <alignment horizontal="center" vertical="center"/>
    </xf>
    <xf numFmtId="0" fontId="3" fillId="0" borderId="2" xfId="11" applyFont="1" applyFill="1" applyBorder="1" applyAlignment="1">
      <alignment horizontal="center"/>
    </xf>
    <xf numFmtId="0" fontId="3" fillId="0" borderId="3" xfId="11" applyFont="1" applyFill="1" applyBorder="1" applyAlignment="1">
      <alignment horizontal="center"/>
    </xf>
    <xf numFmtId="0" fontId="3" fillId="0" borderId="2" xfId="11" applyFont="1" applyFill="1" applyBorder="1" applyAlignment="1"/>
    <xf numFmtId="0" fontId="3" fillId="0" borderId="3" xfId="11" applyFont="1" applyFill="1" applyBorder="1" applyAlignment="1"/>
    <xf numFmtId="167" fontId="2" fillId="0" borderId="14" xfId="13" quotePrefix="1" applyNumberFormat="1" applyFont="1" applyFill="1" applyBorder="1" applyAlignment="1">
      <alignment horizontal="center" vertical="center" wrapText="1"/>
    </xf>
    <xf numFmtId="44" fontId="9" fillId="0" borderId="42" xfId="3" quotePrefix="1" applyFont="1" applyFill="1" applyBorder="1" applyAlignment="1">
      <alignment horizontal="center" vertical="center"/>
    </xf>
    <xf numFmtId="44" fontId="9" fillId="0" borderId="43" xfId="3" quotePrefix="1" applyFont="1" applyFill="1" applyBorder="1" applyAlignment="1">
      <alignment horizontal="center" vertical="center"/>
    </xf>
    <xf numFmtId="44" fontId="9" fillId="0" borderId="44" xfId="3" quotePrefix="1" applyFont="1" applyFill="1" applyBorder="1" applyAlignment="1">
      <alignment horizontal="center" vertical="center"/>
    </xf>
    <xf numFmtId="44" fontId="9" fillId="0" borderId="0" xfId="3" applyFont="1" applyFill="1" applyBorder="1" applyAlignment="1">
      <alignment horizontal="center" vertical="center" wrapText="1"/>
    </xf>
    <xf numFmtId="44" fontId="9" fillId="0" borderId="0" xfId="3" applyFont="1" applyFill="1" applyBorder="1" applyAlignment="1">
      <alignment horizontal="center" vertical="center"/>
    </xf>
    <xf numFmtId="44" fontId="9" fillId="0" borderId="45" xfId="3" quotePrefix="1" applyFont="1" applyFill="1" applyBorder="1" applyAlignment="1">
      <alignment horizontal="center" vertical="center"/>
    </xf>
    <xf numFmtId="0" fontId="2" fillId="0" borderId="28" xfId="11" applyFont="1" applyFill="1" applyBorder="1" applyAlignment="1">
      <alignment horizontal="center" vertical="center"/>
    </xf>
    <xf numFmtId="0" fontId="3" fillId="0" borderId="30" xfId="11" applyFont="1" applyFill="1" applyBorder="1" applyAlignment="1"/>
    <xf numFmtId="0" fontId="3" fillId="0" borderId="29" xfId="11" applyFont="1" applyFill="1" applyBorder="1" applyAlignment="1"/>
    <xf numFmtId="0" fontId="22" fillId="0" borderId="0" xfId="0" applyFont="1" applyFill="1" applyAlignment="1">
      <alignment horizontal="center"/>
    </xf>
    <xf numFmtId="164" fontId="18" fillId="0" borderId="0" xfId="0" applyNumberFormat="1" applyFont="1" applyFill="1" applyAlignment="1">
      <alignment horizontal="center" vertical="center" wrapText="1"/>
    </xf>
    <xf numFmtId="164" fontId="19" fillId="0" borderId="0" xfId="0" applyNumberFormat="1" applyFont="1" applyFill="1" applyAlignment="1">
      <alignment horizontal="center" vertical="center"/>
    </xf>
    <xf numFmtId="0" fontId="18" fillId="0" borderId="0" xfId="14" quotePrefix="1" applyFont="1" applyAlignment="1">
      <alignment horizontal="center" vertical="center" wrapText="1"/>
    </xf>
    <xf numFmtId="0" fontId="2" fillId="2" borderId="46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5" fontId="18" fillId="0" borderId="0" xfId="14" applyNumberFormat="1" applyFont="1" applyFill="1" applyAlignment="1">
      <alignment horizontal="center"/>
    </xf>
    <xf numFmtId="0" fontId="18" fillId="0" borderId="0" xfId="14" applyFont="1" applyFill="1" applyAlignment="1">
      <alignment horizontal="center" vertical="center" wrapText="1"/>
    </xf>
    <xf numFmtId="0" fontId="19" fillId="0" borderId="0" xfId="14" applyFont="1" applyFill="1" applyAlignment="1"/>
    <xf numFmtId="165" fontId="18" fillId="0" borderId="0" xfId="0" applyNumberFormat="1" applyFont="1" applyFill="1" applyAlignment="1">
      <alignment horizontal="center" vertical="center" wrapText="1"/>
    </xf>
    <xf numFmtId="44" fontId="9" fillId="3" borderId="0" xfId="3" quotePrefix="1" applyFont="1" applyFill="1" applyBorder="1" applyAlignment="1">
      <alignment horizontal="center" vertical="center"/>
    </xf>
    <xf numFmtId="0" fontId="12" fillId="5" borderId="46" xfId="11" applyFont="1" applyFill="1" applyBorder="1" applyAlignment="1">
      <alignment horizontal="center" vertical="center"/>
    </xf>
    <xf numFmtId="0" fontId="12" fillId="5" borderId="47" xfId="11" applyFont="1" applyFill="1" applyBorder="1" applyAlignment="1">
      <alignment horizontal="center" vertical="center"/>
    </xf>
    <xf numFmtId="0" fontId="12" fillId="5" borderId="6" xfId="11" applyFont="1" applyFill="1" applyBorder="1" applyAlignment="1">
      <alignment horizontal="center" vertical="center"/>
    </xf>
    <xf numFmtId="0" fontId="12" fillId="5" borderId="46" xfId="11" applyFont="1" applyFill="1" applyBorder="1" applyAlignment="1">
      <alignment horizontal="center"/>
    </xf>
    <xf numFmtId="0" fontId="12" fillId="5" borderId="47" xfId="11" applyFont="1" applyFill="1" applyBorder="1" applyAlignment="1">
      <alignment horizontal="center"/>
    </xf>
    <xf numFmtId="0" fontId="12" fillId="5" borderId="6" xfId="11" applyFont="1" applyFill="1" applyBorder="1" applyAlignment="1">
      <alignment horizontal="center"/>
    </xf>
    <xf numFmtId="0" fontId="16" fillId="0" borderId="0" xfId="11" applyFont="1" applyFill="1" applyBorder="1" applyAlignment="1">
      <alignment horizontal="center" vertical="center" wrapText="1"/>
    </xf>
    <xf numFmtId="44" fontId="9" fillId="0" borderId="17" xfId="3" quotePrefix="1" applyFont="1" applyFill="1" applyBorder="1" applyAlignment="1">
      <alignment horizontal="center" vertical="center"/>
    </xf>
    <xf numFmtId="44" fontId="9" fillId="0" borderId="18" xfId="3" quotePrefix="1" applyFont="1" applyFill="1" applyBorder="1" applyAlignment="1">
      <alignment horizontal="center" vertical="center"/>
    </xf>
    <xf numFmtId="44" fontId="9" fillId="0" borderId="48" xfId="3" quotePrefix="1" applyFont="1" applyFill="1" applyBorder="1" applyAlignment="1">
      <alignment horizontal="center" vertical="center"/>
    </xf>
    <xf numFmtId="44" fontId="9" fillId="0" borderId="19" xfId="3" quotePrefix="1" applyFont="1" applyFill="1" applyBorder="1" applyAlignment="1">
      <alignment horizontal="center" vertical="center"/>
    </xf>
    <xf numFmtId="0" fontId="2" fillId="0" borderId="15" xfId="11" applyFont="1" applyFill="1" applyBorder="1" applyAlignment="1">
      <alignment horizontal="center" vertical="center"/>
    </xf>
    <xf numFmtId="0" fontId="3" fillId="0" borderId="25" xfId="11" applyFont="1" applyFill="1" applyBorder="1" applyAlignment="1">
      <alignment horizontal="center" vertical="center"/>
    </xf>
    <xf numFmtId="0" fontId="3" fillId="0" borderId="9" xfId="11" applyFont="1" applyFill="1" applyBorder="1" applyAlignment="1">
      <alignment horizontal="center" vertical="center"/>
    </xf>
    <xf numFmtId="0" fontId="3" fillId="0" borderId="25" xfId="11" applyFont="1" applyFill="1" applyBorder="1" applyAlignment="1">
      <alignment vertical="center"/>
    </xf>
    <xf numFmtId="0" fontId="3" fillId="0" borderId="9" xfId="11" applyFont="1" applyFill="1" applyBorder="1" applyAlignment="1">
      <alignment vertical="center"/>
    </xf>
    <xf numFmtId="167" fontId="2" fillId="0" borderId="15" xfId="13" quotePrefix="1" applyNumberFormat="1" applyFont="1" applyFill="1" applyBorder="1" applyAlignment="1">
      <alignment horizontal="center" vertical="center" wrapText="1"/>
    </xf>
    <xf numFmtId="44" fontId="9" fillId="2" borderId="0" xfId="3" quotePrefix="1" applyFont="1" applyFill="1" applyBorder="1" applyAlignment="1">
      <alignment horizontal="center" vertical="center"/>
    </xf>
    <xf numFmtId="0" fontId="3" fillId="0" borderId="49" xfId="11" applyFont="1" applyBorder="1" applyAlignment="1">
      <alignment horizontal="center"/>
    </xf>
    <xf numFmtId="0" fontId="3" fillId="0" borderId="50" xfId="11" applyFont="1" applyFill="1" applyBorder="1" applyAlignment="1">
      <alignment horizontal="left" wrapText="1"/>
    </xf>
    <xf numFmtId="0" fontId="3" fillId="0" borderId="0" xfId="11" applyFont="1" applyFill="1" applyBorder="1" applyAlignment="1">
      <alignment horizontal="left" wrapText="1"/>
    </xf>
    <xf numFmtId="0" fontId="19" fillId="0" borderId="0" xfId="0" applyFont="1" applyAlignment="1">
      <alignment horizontal="center" wrapText="1"/>
    </xf>
    <xf numFmtId="0" fontId="18" fillId="0" borderId="0" xfId="0" applyFont="1" applyFill="1" applyAlignment="1">
      <alignment horizontal="center" vertical="center"/>
    </xf>
    <xf numFmtId="0" fontId="28" fillId="0" borderId="0" xfId="14" applyFont="1" applyFill="1" applyAlignment="1">
      <alignment horizontal="left" wrapText="1"/>
    </xf>
    <xf numFmtId="44" fontId="9" fillId="0" borderId="10" xfId="3" quotePrefix="1" applyFont="1" applyFill="1" applyBorder="1" applyAlignment="1">
      <alignment horizontal="center" vertical="center"/>
    </xf>
    <xf numFmtId="0" fontId="2" fillId="0" borderId="15" xfId="11" quotePrefix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3" fillId="0" borderId="27" xfId="11" applyFont="1" applyFill="1" applyBorder="1" applyAlignment="1">
      <alignment horizontal="center" vertical="center"/>
    </xf>
    <xf numFmtId="0" fontId="3" fillId="0" borderId="51" xfId="11" applyFont="1" applyFill="1" applyBorder="1" applyAlignment="1">
      <alignment horizontal="center" vertical="center"/>
    </xf>
    <xf numFmtId="3" fontId="18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</cellXfs>
  <cellStyles count="16">
    <cellStyle name="Comma0 - Style5" xfId="1"/>
    <cellStyle name="Comma1 - Style1" xfId="2"/>
    <cellStyle name="Currency" xfId="3" builtinId="4"/>
    <cellStyle name="Date - Style4" xfId="4"/>
    <cellStyle name="Fixed3 - Style3" xfId="5"/>
    <cellStyle name="Hyperlink" xfId="6" builtinId="8"/>
    <cellStyle name="Normal" xfId="0" builtinId="0"/>
    <cellStyle name="Normal 2" xfId="14"/>
    <cellStyle name="Normal_030501 Data" xfId="7"/>
    <cellStyle name="Normal_2001 Pay Plans" xfId="8"/>
    <cellStyle name="Normal_2002 Pay Plans" xfId="9"/>
    <cellStyle name="Normal_D Plan- 2001" xfId="10"/>
    <cellStyle name="Normal_Police" xfId="11"/>
    <cellStyle name="Percen - Style2" xfId="12"/>
    <cellStyle name="Percent" xfId="13" builtinId="5"/>
    <cellStyle name="Percent 2" xfId="1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4" Type="http://schemas.openxmlformats.org/officeDocument/2006/relationships/printerSettings" Target="../printerSettings/printerSettings3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6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40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8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4" Type="http://schemas.openxmlformats.org/officeDocument/2006/relationships/printerSettings" Target="../printerSettings/printerSettings52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4" Type="http://schemas.openxmlformats.org/officeDocument/2006/relationships/printerSettings" Target="../printerSettings/printerSettings6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4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hyperlink" Target="mailto:LONGBC@10.5%25" TargetMode="External"/><Relationship Id="rId5" Type="http://schemas.openxmlformats.org/officeDocument/2006/relationships/hyperlink" Target="mailto:LONGBC@9%25" TargetMode="External"/><Relationship Id="rId4" Type="http://schemas.openxmlformats.org/officeDocument/2006/relationships/hyperlink" Target="mailto:LONGBC@12%25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8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1.bin"/><Relationship Id="rId2" Type="http://schemas.openxmlformats.org/officeDocument/2006/relationships/printerSettings" Target="../printerSettings/printerSettings70.bin"/><Relationship Id="rId1" Type="http://schemas.openxmlformats.org/officeDocument/2006/relationships/printerSettings" Target="../printerSettings/printerSettings69.bin"/><Relationship Id="rId4" Type="http://schemas.openxmlformats.org/officeDocument/2006/relationships/printerSettings" Target="../printerSettings/printerSettings72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4" Type="http://schemas.openxmlformats.org/officeDocument/2006/relationships/printerSettings" Target="../printerSettings/printerSettings7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0.bin"/><Relationship Id="rId2" Type="http://schemas.openxmlformats.org/officeDocument/2006/relationships/printerSettings" Target="../printerSettings/printerSettings79.bin"/><Relationship Id="rId1" Type="http://schemas.openxmlformats.org/officeDocument/2006/relationships/printerSettings" Target="../printerSettings/printerSettings78.bin"/><Relationship Id="rId4" Type="http://schemas.openxmlformats.org/officeDocument/2006/relationships/printerSettings" Target="../printerSettings/printerSettings81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83.bin"/><Relationship Id="rId1" Type="http://schemas.openxmlformats.org/officeDocument/2006/relationships/printerSettings" Target="../printerSettings/printerSettings82.bin"/><Relationship Id="rId4" Type="http://schemas.openxmlformats.org/officeDocument/2006/relationships/printerSettings" Target="../printerSettings/printerSettings8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8.bin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Relationship Id="rId4" Type="http://schemas.openxmlformats.org/officeDocument/2006/relationships/printerSettings" Target="../printerSettings/printerSettings8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4" Type="http://schemas.openxmlformats.org/officeDocument/2006/relationships/printerSettings" Target="../printerSettings/printerSettings94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7.bin"/><Relationship Id="rId2" Type="http://schemas.openxmlformats.org/officeDocument/2006/relationships/printerSettings" Target="../printerSettings/printerSettings96.bin"/><Relationship Id="rId1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9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1.bin"/><Relationship Id="rId2" Type="http://schemas.openxmlformats.org/officeDocument/2006/relationships/printerSettings" Target="../printerSettings/printerSettings100.bin"/><Relationship Id="rId1" Type="http://schemas.openxmlformats.org/officeDocument/2006/relationships/printerSettings" Target="../printerSettings/printerSettings99.bin"/><Relationship Id="rId4" Type="http://schemas.openxmlformats.org/officeDocument/2006/relationships/printerSettings" Target="../printerSettings/printerSettings10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4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2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2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365"/>
  <sheetViews>
    <sheetView tabSelected="1" view="pageLayout" zoomScaleNormal="100" workbookViewId="0"/>
  </sheetViews>
  <sheetFormatPr defaultRowHeight="12.75" x14ac:dyDescent="0.2"/>
  <cols>
    <col min="1" max="1" width="8.5703125" style="1" bestFit="1" customWidth="1"/>
    <col min="2" max="2" width="55.5703125" customWidth="1"/>
    <col min="3" max="3" width="8" style="1" customWidth="1"/>
    <col min="4" max="4" width="12.42578125" style="1" bestFit="1" customWidth="1"/>
    <col min="5" max="5" width="11.28515625" style="51" bestFit="1" customWidth="1"/>
    <col min="6" max="7" width="11.28515625" style="51" customWidth="1"/>
    <col min="8" max="8" width="3.5703125" style="1" bestFit="1" customWidth="1"/>
    <col min="9" max="9" width="7.5703125" style="397" customWidth="1"/>
  </cols>
  <sheetData>
    <row r="1" spans="1:9" s="47" customFormat="1" ht="25.5" x14ac:dyDescent="0.2">
      <c r="A1" s="47" t="s">
        <v>0</v>
      </c>
      <c r="B1" s="47" t="s">
        <v>1</v>
      </c>
      <c r="C1" s="47" t="s">
        <v>791</v>
      </c>
      <c r="D1" s="47" t="s">
        <v>789</v>
      </c>
      <c r="E1" s="52" t="s">
        <v>381</v>
      </c>
      <c r="F1" s="52" t="s">
        <v>383</v>
      </c>
      <c r="G1" s="52" t="s">
        <v>382</v>
      </c>
      <c r="H1" s="47" t="s">
        <v>788</v>
      </c>
      <c r="I1" s="47" t="s">
        <v>1032</v>
      </c>
    </row>
    <row r="2" spans="1:9" s="47" customFormat="1" x14ac:dyDescent="0.2">
      <c r="A2" s="242" t="str">
        <f>'G - General Pay Plan'!C48</f>
        <v>ANG610</v>
      </c>
      <c r="B2" t="str">
        <f>'G - General Pay Plan'!D48</f>
        <v>ACCOUNT REPRESENTATIVE, UTILITY BILLING</v>
      </c>
      <c r="C2" s="242" t="str">
        <f>'G - General Pay Plan'!A48</f>
        <v>G19</v>
      </c>
      <c r="D2" s="433" t="s">
        <v>391</v>
      </c>
      <c r="E2" s="515">
        <f>'G - General Pay Plan'!E48</f>
        <v>4230.7585845833337</v>
      </c>
      <c r="F2" s="515">
        <f>(E2+G2)/2</f>
        <v>5033.74707605</v>
      </c>
      <c r="G2" s="515">
        <f>'G - General Pay Plan'!G48</f>
        <v>5836.7355675166664</v>
      </c>
      <c r="H2" s="433" t="s">
        <v>711</v>
      </c>
      <c r="I2" s="440">
        <f>'G - General Pay Plan'!$H$1</f>
        <v>2017</v>
      </c>
    </row>
    <row r="3" spans="1:9" x14ac:dyDescent="0.2">
      <c r="A3" s="397" t="str">
        <f>'G - General Pay Plan'!C27</f>
        <v>BNG601</v>
      </c>
      <c r="B3" t="str">
        <f>(('G - General Pay Plan'!D27))</f>
        <v>ACCOUNTING ASSISTANT</v>
      </c>
      <c r="C3" s="397" t="str">
        <f>'G - General Pay Plan'!A27</f>
        <v>G14</v>
      </c>
      <c r="D3" s="397" t="s">
        <v>391</v>
      </c>
      <c r="E3" s="515">
        <f>'G - General Pay Plan'!E27</f>
        <v>3301.3911448166668</v>
      </c>
      <c r="F3" s="515">
        <f>(E3+G3)/2</f>
        <v>3928.0981880083336</v>
      </c>
      <c r="G3" s="515">
        <f>'G - General Pay Plan'!G27</f>
        <v>4554.8052312000009</v>
      </c>
      <c r="H3" s="397" t="s">
        <v>711</v>
      </c>
      <c r="I3" s="440">
        <f>'G - General Pay Plan'!$H$1</f>
        <v>2017</v>
      </c>
    </row>
    <row r="4" spans="1:9" x14ac:dyDescent="0.2">
      <c r="A4" s="397" t="str">
        <f>'G - General Pay Plan'!C31</f>
        <v>BNG501</v>
      </c>
      <c r="B4" t="str">
        <f>(('G - General Pay Plan'!D31))</f>
        <v>ACCOUNTING ASSOCIATE</v>
      </c>
      <c r="C4" s="397" t="str">
        <f>'G - General Pay Plan'!A31</f>
        <v>G16</v>
      </c>
      <c r="D4" s="397" t="s">
        <v>391</v>
      </c>
      <c r="E4" s="515">
        <f>'G - General Pay Plan'!E31</f>
        <v>3644.8807855166665</v>
      </c>
      <c r="F4" s="515">
        <f>(E4+G4)/2</f>
        <v>4338.3418298583329</v>
      </c>
      <c r="G4" s="515">
        <f>'G - General Pay Plan'!G31</f>
        <v>5031.8028741999997</v>
      </c>
      <c r="H4" s="397" t="s">
        <v>711</v>
      </c>
      <c r="I4" s="440">
        <f>'G - General Pay Plan'!$H$1</f>
        <v>2017</v>
      </c>
    </row>
    <row r="5" spans="1:9" x14ac:dyDescent="0.2">
      <c r="A5" s="397" t="str">
        <f>'G - General Pay Plan'!C106</f>
        <v>BNG202</v>
      </c>
      <c r="B5" t="str">
        <f>(('G - General Pay Plan'!D106))</f>
        <v>ACCOUNTING SUPERVISOR</v>
      </c>
      <c r="C5" s="397" t="str">
        <f>'G - General Pay Plan'!A106</f>
        <v>G24</v>
      </c>
      <c r="D5" s="397" t="s">
        <v>391</v>
      </c>
      <c r="E5" s="515">
        <f>'G - General Pay Plan'!E106</f>
        <v>5421.9553019833338</v>
      </c>
      <c r="F5" s="515">
        <f>'G - General Pay Plan'!F106</f>
        <v>6451.7769118166661</v>
      </c>
      <c r="G5" s="515">
        <f>'G - General Pay Plan'!G106</f>
        <v>7481.5985301333321</v>
      </c>
      <c r="H5" s="397" t="s">
        <v>710</v>
      </c>
      <c r="I5" s="440">
        <f>'G - General Pay Plan'!$H$1</f>
        <v>2017</v>
      </c>
    </row>
    <row r="6" spans="1:9" x14ac:dyDescent="0.2">
      <c r="A6" s="242" t="str">
        <f>'G - General Pay Plan'!C49</f>
        <v>ANG601</v>
      </c>
      <c r="B6" t="str">
        <f>(('G - General Pay Plan'!D49))</f>
        <v>ADMINISTRATIVE ASSISTANT</v>
      </c>
      <c r="C6" s="397" t="str">
        <f>'G - General Pay Plan'!A48</f>
        <v>G19</v>
      </c>
      <c r="D6" s="397" t="s">
        <v>391</v>
      </c>
      <c r="E6" s="515">
        <f>'G - General Pay Plan'!E48</f>
        <v>4230.7585845833337</v>
      </c>
      <c r="F6" s="515">
        <f>(E6+G6)/2</f>
        <v>5033.74707605</v>
      </c>
      <c r="G6" s="515">
        <f>'G - General Pay Plan'!G48</f>
        <v>5836.7355675166664</v>
      </c>
      <c r="H6" s="397" t="s">
        <v>711</v>
      </c>
      <c r="I6" s="440">
        <f>'G - General Pay Plan'!$H$1</f>
        <v>2017</v>
      </c>
    </row>
    <row r="7" spans="1:9" x14ac:dyDescent="0.2">
      <c r="A7" s="397" t="str">
        <f>'G - General Pay Plan'!C188</f>
        <v>ANG201</v>
      </c>
      <c r="B7" t="str">
        <f>(('G - General Pay Plan'!D188))</f>
        <v>ADMINISTRATIVE SERVICES MANAGER</v>
      </c>
      <c r="C7" s="397" t="str">
        <f>'G - General Pay Plan'!A188</f>
        <v>G28</v>
      </c>
      <c r="D7" s="397" t="s">
        <v>391</v>
      </c>
      <c r="E7" s="515">
        <f>'G - General Pay Plan'!E188</f>
        <v>6611.8555624500004</v>
      </c>
      <c r="F7" s="515">
        <f>'G - General Pay Plan'!F188</f>
        <v>7867.2138591666662</v>
      </c>
      <c r="G7" s="515">
        <f>'G - General Pay Plan'!G188</f>
        <v>9122.5721474000002</v>
      </c>
      <c r="H7" s="397" t="s">
        <v>710</v>
      </c>
      <c r="I7" s="440">
        <f>'G - General Pay Plan'!$H$1</f>
        <v>2017</v>
      </c>
    </row>
    <row r="8" spans="1:9" x14ac:dyDescent="0.2">
      <c r="A8" s="397" t="str">
        <f>'G - General Pay Plan'!C86</f>
        <v>ANG202</v>
      </c>
      <c r="B8" t="str">
        <f>(('G - General Pay Plan'!D86))</f>
        <v>ADMINISTRATIVE SERVICES SUPERVISOR</v>
      </c>
      <c r="C8" s="397" t="str">
        <f>'G - General Pay Plan'!A86</f>
        <v>G23</v>
      </c>
      <c r="D8" s="397" t="s">
        <v>391</v>
      </c>
      <c r="E8" s="515">
        <f>'G - General Pay Plan'!E86</f>
        <v>5158.8286342500005</v>
      </c>
      <c r="F8" s="515">
        <f>'G - General Pay Plan'!F86</f>
        <v>6138.7468067</v>
      </c>
      <c r="G8" s="515">
        <f>'G - General Pay Plan'!G86</f>
        <v>7118.6649706666658</v>
      </c>
      <c r="H8" s="397" t="s">
        <v>710</v>
      </c>
      <c r="I8" s="440">
        <f>'G - General Pay Plan'!$H$1</f>
        <v>2017</v>
      </c>
    </row>
    <row r="9" spans="1:9" x14ac:dyDescent="0.2">
      <c r="A9" s="397" t="str">
        <f>'G - General Pay Plan'!C167</f>
        <v>FNG201</v>
      </c>
      <c r="B9" t="str">
        <f>(('G - General Pay Plan'!D167))</f>
        <v>ASSISTANT FIRE MARSHAL</v>
      </c>
      <c r="C9" s="397" t="str">
        <f>'G - General Pay Plan'!A167</f>
        <v>G27</v>
      </c>
      <c r="D9" s="397" t="s">
        <v>391</v>
      </c>
      <c r="E9" s="515">
        <f>'G - General Pay Plan'!E167</f>
        <v>6291.6973280166667</v>
      </c>
      <c r="F9" s="515">
        <f>'G - General Pay Plan'!F167</f>
        <v>7486.7829241833342</v>
      </c>
      <c r="G9" s="515">
        <f>'G - General Pay Plan'!G167</f>
        <v>8681.8685118666672</v>
      </c>
      <c r="H9" s="397" t="s">
        <v>710</v>
      </c>
      <c r="I9" s="440">
        <f>'G - General Pay Plan'!$H$1</f>
        <v>2017</v>
      </c>
    </row>
    <row r="10" spans="1:9" x14ac:dyDescent="0.2">
      <c r="A10" s="397" t="str">
        <f>'G - General Pay Plan'!C64</f>
        <v>DNG501</v>
      </c>
      <c r="B10" t="str">
        <f>(('G - General Pay Plan'!D64))</f>
        <v>ASSISTANT LAND USE PROFESSIONAL</v>
      </c>
      <c r="C10" s="397" t="str">
        <f>'G - General Pay Plan'!A64</f>
        <v>G21</v>
      </c>
      <c r="D10" s="397" t="s">
        <v>391</v>
      </c>
      <c r="E10" s="515">
        <f>'G - General Pay Plan'!E64</f>
        <v>4671.462211633333</v>
      </c>
      <c r="F10" s="515">
        <f>'G - General Pay Plan'!F64</f>
        <v>5558.7030214166662</v>
      </c>
      <c r="G10" s="515">
        <f>'G - General Pay Plan'!G64</f>
        <v>6445.9438312000011</v>
      </c>
      <c r="H10" s="397" t="s">
        <v>711</v>
      </c>
      <c r="I10" s="440">
        <f>'G - General Pay Plan'!$H$1</f>
        <v>2017</v>
      </c>
    </row>
    <row r="11" spans="1:9" x14ac:dyDescent="0.2">
      <c r="A11" s="397" t="str">
        <f>'G - General Pay Plan'!C65</f>
        <v>DNG503</v>
      </c>
      <c r="B11" t="str">
        <f>(('G - General Pay Plan'!D65))</f>
        <v>ASSISTANT PLANNER</v>
      </c>
      <c r="C11" s="397" t="str">
        <f>'G - General Pay Plan'!A64</f>
        <v>G21</v>
      </c>
      <c r="D11" s="397" t="s">
        <v>391</v>
      </c>
      <c r="E11" s="515">
        <f>'G - General Pay Plan'!E64</f>
        <v>4671.462211633333</v>
      </c>
      <c r="F11" s="515">
        <f>'G - General Pay Plan'!F64</f>
        <v>5558.7030214166662</v>
      </c>
      <c r="G11" s="515">
        <f>'G - General Pay Plan'!G64</f>
        <v>6445.9438312000011</v>
      </c>
      <c r="H11" s="397" t="s">
        <v>711</v>
      </c>
      <c r="I11" s="440">
        <f>'G - General Pay Plan'!$H$1</f>
        <v>2017</v>
      </c>
    </row>
    <row r="12" spans="1:9" x14ac:dyDescent="0.2">
      <c r="A12" s="397" t="str">
        <f>'M-Mid Mgmt'!C16</f>
        <v>PNM201</v>
      </c>
      <c r="B12" t="str">
        <f>'M-Mid Mgmt'!D16</f>
        <v>ASSISTANT POLICE CHIEF</v>
      </c>
      <c r="C12" s="397" t="str">
        <f>'M-Mid Mgmt'!A15</f>
        <v>M02</v>
      </c>
      <c r="D12" s="397" t="s">
        <v>391</v>
      </c>
      <c r="E12" s="515">
        <f>'M-Mid Mgmt'!E15</f>
        <v>8902.2198630500006</v>
      </c>
      <c r="F12" s="515">
        <f>'M-Mid Mgmt'!F15</f>
        <v>10593.745612750001</v>
      </c>
      <c r="G12" s="515">
        <f>'M-Mid Mgmt'!G15</f>
        <v>12285.271370933335</v>
      </c>
      <c r="H12" s="397" t="s">
        <v>710</v>
      </c>
      <c r="I12" s="439">
        <f>'M-Mid Mgmt'!$H$1</f>
        <v>2017</v>
      </c>
    </row>
    <row r="13" spans="1:9" x14ac:dyDescent="0.2">
      <c r="A13" s="397" t="str">
        <f>'G - General Pay Plan'!C212</f>
        <v>ANG212</v>
      </c>
      <c r="B13" t="str">
        <f>(('G - General Pay Plan'!D212))</f>
        <v>ASSISTANT TO THE CITY MANAGER</v>
      </c>
      <c r="C13" s="397" t="str">
        <f>'G - General Pay Plan'!A212</f>
        <v>G30</v>
      </c>
      <c r="D13" s="397" t="s">
        <v>391</v>
      </c>
      <c r="E13" s="515">
        <f>'G - General Pay Plan'!E212</f>
        <v>7301.4277322666667</v>
      </c>
      <c r="F13" s="515">
        <f>'G - General Pay Plan'!F212</f>
        <v>8687.7011343833346</v>
      </c>
      <c r="G13" s="515">
        <f>'G - General Pay Plan'!G212</f>
        <v>10073.974528016666</v>
      </c>
      <c r="H13" s="397" t="s">
        <v>710</v>
      </c>
      <c r="I13" s="440">
        <f>'G - General Pay Plan'!$H$1</f>
        <v>2017</v>
      </c>
    </row>
    <row r="14" spans="1:9" x14ac:dyDescent="0.2">
      <c r="A14" s="397" t="str">
        <f>'G - General Pay Plan'!C107</f>
        <v>DNG209</v>
      </c>
      <c r="B14" t="str">
        <f>(('G - General Pay Plan'!D107))</f>
        <v>ASSOCIATE LAND USE PROFESSIONAL</v>
      </c>
      <c r="C14" s="397" t="str">
        <f>'G - General Pay Plan'!A106</f>
        <v>G24</v>
      </c>
      <c r="D14" s="397" t="s">
        <v>391</v>
      </c>
      <c r="E14" s="515">
        <f>'G - General Pay Plan'!E106</f>
        <v>5421.9553019833338</v>
      </c>
      <c r="F14" s="515">
        <f>'G - General Pay Plan'!F106</f>
        <v>6451.7769118166661</v>
      </c>
      <c r="G14" s="515">
        <f>'G - General Pay Plan'!G106</f>
        <v>7481.5985301333321</v>
      </c>
      <c r="H14" s="397" t="s">
        <v>710</v>
      </c>
      <c r="I14" s="440">
        <f>'G - General Pay Plan'!$H$1</f>
        <v>2017</v>
      </c>
    </row>
    <row r="15" spans="1:9" x14ac:dyDescent="0.2">
      <c r="A15" s="397" t="str">
        <f>'G - General Pay Plan'!C108</f>
        <v>DNG211</v>
      </c>
      <c r="B15" t="str">
        <f>(('G - General Pay Plan'!D108))</f>
        <v>ASSOCIATE PLANNER</v>
      </c>
      <c r="C15" s="397" t="str">
        <f>'G - General Pay Plan'!A106</f>
        <v>G24</v>
      </c>
      <c r="D15" s="397" t="s">
        <v>391</v>
      </c>
      <c r="E15" s="515">
        <f>'G - General Pay Plan'!E106</f>
        <v>5421.9553019833338</v>
      </c>
      <c r="F15" s="515">
        <f>'G - General Pay Plan'!F106</f>
        <v>6451.7769118166661</v>
      </c>
      <c r="G15" s="515">
        <f>'G - General Pay Plan'!G106</f>
        <v>7481.5985301333321</v>
      </c>
      <c r="H15" s="397" t="s">
        <v>710</v>
      </c>
      <c r="I15" s="440">
        <f>'G - General Pay Plan'!$H$1</f>
        <v>2017</v>
      </c>
    </row>
    <row r="16" spans="1:9" x14ac:dyDescent="0.2">
      <c r="A16" s="397" t="str">
        <f>'E -Executive'!C3</f>
        <v>ANE101</v>
      </c>
      <c r="B16" t="str">
        <f>'E -Executive'!D3</f>
        <v>ASST CITY MGR, ADMIN &amp; COUNCIL SUPPORT</v>
      </c>
      <c r="C16" s="397" t="str">
        <f>'E -Executive'!A4</f>
        <v>(E01)</v>
      </c>
      <c r="D16" s="397" t="s">
        <v>391</v>
      </c>
      <c r="E16" s="515">
        <f>'E -Executive'!E3</f>
        <v>9589.4477654999992</v>
      </c>
      <c r="F16" s="515">
        <f>(E16+G16)/2</f>
        <v>11383.659319416667</v>
      </c>
      <c r="G16" s="515">
        <f>'E -Executive'!G3</f>
        <v>13177.870873333333</v>
      </c>
      <c r="H16" s="397" t="s">
        <v>710</v>
      </c>
      <c r="I16" s="439">
        <f>'E -Executive'!$H$1</f>
        <v>2017</v>
      </c>
    </row>
    <row r="17" spans="1:9" x14ac:dyDescent="0.2">
      <c r="A17" s="397" t="str">
        <f>'M-Mid Mgmt'!C3</f>
        <v>ANM202</v>
      </c>
      <c r="B17" t="str">
        <f>'M-Mid Mgmt'!D3</f>
        <v xml:space="preserve">ASST DIR, CITY CLERKS &amp; PUBLIC RECORDS </v>
      </c>
      <c r="C17" s="397" t="str">
        <f>'M-Mid Mgmt'!A3</f>
        <v>M01</v>
      </c>
      <c r="D17" s="397" t="s">
        <v>391</v>
      </c>
      <c r="E17" s="515">
        <f>'M-Mid Mgmt'!E3</f>
        <v>8470.5895003333335</v>
      </c>
      <c r="F17" s="515">
        <f>'M-Mid Mgmt'!F3</f>
        <v>10081.751352383333</v>
      </c>
      <c r="G17" s="515">
        <f>'M-Mid Mgmt'!G3</f>
        <v>11692.913195950001</v>
      </c>
      <c r="H17" s="72" t="s">
        <v>710</v>
      </c>
      <c r="I17" s="439">
        <f>'M-Mid Mgmt'!$H$1</f>
        <v>2017</v>
      </c>
    </row>
    <row r="18" spans="1:9" x14ac:dyDescent="0.2">
      <c r="A18" s="397" t="str">
        <f>'M-Mid Mgmt'!C4</f>
        <v>MNM201</v>
      </c>
      <c r="B18" t="str">
        <f>'M-Mid Mgmt'!D4</f>
        <v>ASST DIR, CIVIC SERVICES</v>
      </c>
      <c r="C18" s="397" t="str">
        <f>'M-Mid Mgmt'!A3</f>
        <v>M01</v>
      </c>
      <c r="D18" s="397" t="s">
        <v>391</v>
      </c>
      <c r="E18" s="515">
        <f>'M-Mid Mgmt'!E3</f>
        <v>8470.5895003333335</v>
      </c>
      <c r="F18" s="515">
        <f>'M-Mid Mgmt'!F3</f>
        <v>10081.751352383333</v>
      </c>
      <c r="G18" s="515">
        <f>'M-Mid Mgmt'!G3</f>
        <v>11692.913195950001</v>
      </c>
      <c r="H18" s="397" t="s">
        <v>710</v>
      </c>
      <c r="I18" s="439">
        <f>'M-Mid Mgmt'!$H$1</f>
        <v>2017</v>
      </c>
    </row>
    <row r="19" spans="1:9" x14ac:dyDescent="0.2">
      <c r="A19" s="397" t="str">
        <f>'M-Mid Mgmt'!C5</f>
        <v>DNM203</v>
      </c>
      <c r="B19" s="58" t="str">
        <f>'M-Mid Mgmt'!D5</f>
        <v>ASST DIR, DEVELOPMENT SERVICES</v>
      </c>
      <c r="C19" s="397" t="str">
        <f>'M-Mid Mgmt'!A3</f>
        <v>M01</v>
      </c>
      <c r="D19" s="44" t="s">
        <v>391</v>
      </c>
      <c r="E19" s="515">
        <f>'M-Mid Mgmt'!E3</f>
        <v>8470.5895003333335</v>
      </c>
      <c r="F19" s="515">
        <f>'M-Mid Mgmt'!F3</f>
        <v>10081.751352383333</v>
      </c>
      <c r="G19" s="515">
        <f>'M-Mid Mgmt'!G3</f>
        <v>11692.913195950001</v>
      </c>
      <c r="H19" s="44" t="s">
        <v>710</v>
      </c>
      <c r="I19" s="439">
        <f>'M-Mid Mgmt'!$H$1</f>
        <v>2017</v>
      </c>
    </row>
    <row r="20" spans="1:9" x14ac:dyDescent="0.2">
      <c r="A20" s="397" t="str">
        <f>'M-Mid Mgmt'!C6</f>
        <v>BNM201</v>
      </c>
      <c r="B20" t="str">
        <f>(('M-Mid Mgmt'!D6))</f>
        <v>ASST DIR, FINANCE</v>
      </c>
      <c r="C20" s="397" t="str">
        <f>'M-Mid Mgmt'!A3</f>
        <v>M01</v>
      </c>
      <c r="D20" s="397" t="s">
        <v>391</v>
      </c>
      <c r="E20" s="515">
        <f>'M-Mid Mgmt'!E3</f>
        <v>8470.5895003333335</v>
      </c>
      <c r="F20" s="515">
        <f>'M-Mid Mgmt'!F3</f>
        <v>10081.751352383333</v>
      </c>
      <c r="G20" s="515">
        <f>'M-Mid Mgmt'!G3</f>
        <v>11692.913195950001</v>
      </c>
      <c r="H20" s="397" t="s">
        <v>710</v>
      </c>
      <c r="I20" s="439">
        <f>'M-Mid Mgmt'!$H$1</f>
        <v>2017</v>
      </c>
    </row>
    <row r="21" spans="1:9" x14ac:dyDescent="0.2">
      <c r="A21" s="397" t="str">
        <f>'M-Mid Mgmt'!C7</f>
        <v>HNM201</v>
      </c>
      <c r="B21" t="str">
        <f>(('M-Mid Mgmt'!D7))</f>
        <v>ASST DIR, HUMAN RESOURCES</v>
      </c>
      <c r="C21" s="44" t="s">
        <v>170</v>
      </c>
      <c r="D21" s="397" t="s">
        <v>391</v>
      </c>
      <c r="E21" s="515">
        <f>'M-Mid Mgmt'!E3</f>
        <v>8470.5895003333335</v>
      </c>
      <c r="F21" s="515">
        <f>'M-Mid Mgmt'!F3</f>
        <v>10081.751352383333</v>
      </c>
      <c r="G21" s="515">
        <f>'M-Mid Mgmt'!G3</f>
        <v>11692.913195950001</v>
      </c>
      <c r="H21" s="397" t="s">
        <v>710</v>
      </c>
      <c r="I21" s="439">
        <f>'M-Mid Mgmt'!$H$1</f>
        <v>2017</v>
      </c>
    </row>
    <row r="22" spans="1:9" s="3" customFormat="1" x14ac:dyDescent="0.2">
      <c r="A22" s="397" t="str">
        <f>'M-Mid Mgmt'!C15</f>
        <v>INM201</v>
      </c>
      <c r="B22" t="str">
        <f>(('M-Mid Mgmt'!D15))</f>
        <v>ASST DIR, INFORMATION TECHNOLOGY</v>
      </c>
      <c r="C22" s="397" t="str">
        <f>'M-Mid Mgmt'!A15</f>
        <v>M02</v>
      </c>
      <c r="D22" s="397" t="s">
        <v>391</v>
      </c>
      <c r="E22" s="515">
        <f>'M-Mid Mgmt'!E15</f>
        <v>8902.2198630500006</v>
      </c>
      <c r="F22" s="515">
        <f>'M-Mid Mgmt'!F15</f>
        <v>10593.745612750001</v>
      </c>
      <c r="G22" s="515">
        <f>'M-Mid Mgmt'!G15</f>
        <v>12285.271370933335</v>
      </c>
      <c r="H22" s="397" t="s">
        <v>710</v>
      </c>
      <c r="I22" s="439">
        <f>'M-Mid Mgmt'!$H$1</f>
        <v>2017</v>
      </c>
    </row>
    <row r="23" spans="1:9" x14ac:dyDescent="0.2">
      <c r="A23" s="397" t="str">
        <f>'M-Mid Mgmt'!C8</f>
        <v>GNM203</v>
      </c>
      <c r="B23" t="str">
        <f>(('M-Mid Mgmt'!D8))</f>
        <v xml:space="preserve">ASST DIR, INTERGOVERNMENTAL RELATIONS </v>
      </c>
      <c r="C23" s="44" t="s">
        <v>170</v>
      </c>
      <c r="D23" s="397" t="s">
        <v>391</v>
      </c>
      <c r="E23" s="515">
        <f>'M-Mid Mgmt'!E3</f>
        <v>8470.5895003333335</v>
      </c>
      <c r="F23" s="515">
        <f>'M-Mid Mgmt'!F3</f>
        <v>10081.751352383333</v>
      </c>
      <c r="G23" s="515">
        <f>'M-Mid Mgmt'!G3</f>
        <v>11692.913195950001</v>
      </c>
      <c r="H23" s="44" t="s">
        <v>710</v>
      </c>
      <c r="I23" s="439">
        <f>'M-Mid Mgmt'!$H$1</f>
        <v>2017</v>
      </c>
    </row>
    <row r="24" spans="1:9" s="3" customFormat="1" x14ac:dyDescent="0.2">
      <c r="A24" s="397" t="str">
        <f>'M-Mid Mgmt'!C9</f>
        <v>RNM201</v>
      </c>
      <c r="B24" t="str">
        <f>(('M-Mid Mgmt'!D9))</f>
        <v>ASST DIR, PARKS &amp; COMMUNITY SERVICES</v>
      </c>
      <c r="C24" s="397" t="str">
        <f>'M-Mid Mgmt'!A3</f>
        <v>M01</v>
      </c>
      <c r="D24" s="397" t="s">
        <v>391</v>
      </c>
      <c r="E24" s="515">
        <f>'M-Mid Mgmt'!E3</f>
        <v>8470.5895003333335</v>
      </c>
      <c r="F24" s="515">
        <f>'M-Mid Mgmt'!F3</f>
        <v>10081.751352383333</v>
      </c>
      <c r="G24" s="515">
        <f>'M-Mid Mgmt'!G3</f>
        <v>11692.913195950001</v>
      </c>
      <c r="H24" s="397" t="s">
        <v>710</v>
      </c>
      <c r="I24" s="439">
        <f>'M-Mid Mgmt'!$H$1</f>
        <v>2017</v>
      </c>
    </row>
    <row r="25" spans="1:9" x14ac:dyDescent="0.2">
      <c r="A25" s="397" t="str">
        <f>'M-Mid Mgmt'!C10</f>
        <v>DNM201</v>
      </c>
      <c r="B25" t="str">
        <f>(('M-Mid Mgmt'!D10))</f>
        <v>ASST DIR, PLANNING &amp; COMMUNITY DEVLPMNT</v>
      </c>
      <c r="C25" s="397" t="str">
        <f>'M-Mid Mgmt'!A3</f>
        <v>M01</v>
      </c>
      <c r="D25" s="397" t="s">
        <v>391</v>
      </c>
      <c r="E25" s="515">
        <f>'M-Mid Mgmt'!E3</f>
        <v>8470.5895003333335</v>
      </c>
      <c r="F25" s="515">
        <f>'M-Mid Mgmt'!F3</f>
        <v>10081.751352383333</v>
      </c>
      <c r="G25" s="515">
        <f>'M-Mid Mgmt'!G3</f>
        <v>11692.913195950001</v>
      </c>
      <c r="H25" s="397" t="s">
        <v>710</v>
      </c>
      <c r="I25" s="439">
        <f>'M-Mid Mgmt'!$H$1</f>
        <v>2017</v>
      </c>
    </row>
    <row r="26" spans="1:9" x14ac:dyDescent="0.2">
      <c r="A26" s="397" t="str">
        <f>'M-Mid Mgmt'!C11</f>
        <v>ENM201</v>
      </c>
      <c r="B26" t="str">
        <f>(('M-Mid Mgmt'!D11))</f>
        <v>ASST DIR, TRANSPORTATION</v>
      </c>
      <c r="C26" s="397" t="str">
        <f>'M-Mid Mgmt'!A3</f>
        <v>M01</v>
      </c>
      <c r="D26" s="397" t="s">
        <v>391</v>
      </c>
      <c r="E26" s="515">
        <f>'M-Mid Mgmt'!E3</f>
        <v>8470.5895003333335</v>
      </c>
      <c r="F26" s="515">
        <f>'M-Mid Mgmt'!F3</f>
        <v>10081.751352383333</v>
      </c>
      <c r="G26" s="515">
        <f>'M-Mid Mgmt'!G3</f>
        <v>11692.913195950001</v>
      </c>
      <c r="H26" s="397" t="s">
        <v>710</v>
      </c>
      <c r="I26" s="439">
        <f>'M-Mid Mgmt'!$H$1</f>
        <v>2017</v>
      </c>
    </row>
    <row r="27" spans="1:9" x14ac:dyDescent="0.2">
      <c r="A27" s="397" t="str">
        <f>'M-Mid Mgmt'!C12</f>
        <v>ENM202</v>
      </c>
      <c r="B27" t="str">
        <f>(('M-Mid Mgmt'!D12))</f>
        <v>ASST DIR, UTILITIES</v>
      </c>
      <c r="C27" s="397" t="str">
        <f>'M-Mid Mgmt'!A3</f>
        <v>M01</v>
      </c>
      <c r="D27" s="397" t="s">
        <v>391</v>
      </c>
      <c r="E27" s="515">
        <f>'M-Mid Mgmt'!E3</f>
        <v>8470.5895003333335</v>
      </c>
      <c r="F27" s="515">
        <f>'M-Mid Mgmt'!F3</f>
        <v>10081.751352383333</v>
      </c>
      <c r="G27" s="515">
        <f>'M-Mid Mgmt'!G3</f>
        <v>11692.913195950001</v>
      </c>
      <c r="H27" s="397" t="s">
        <v>710</v>
      </c>
      <c r="I27" s="439">
        <f>'M-Mid Mgmt'!$H$1</f>
        <v>2017</v>
      </c>
    </row>
    <row r="28" spans="1:9" x14ac:dyDescent="0.2">
      <c r="A28" s="73" t="str">
        <f>'I -Signals &amp; Electronics (rep)'!B7</f>
        <v>MRI701</v>
      </c>
      <c r="B28" t="str">
        <f>'I -Signals &amp; Electronics (rep)'!C7</f>
        <v>ASST ELECTRONIC COMMCTNS TECH</v>
      </c>
      <c r="C28" s="73" t="str">
        <f>'I -Signals &amp; Electronics (rep)'!A7</f>
        <v>I02</v>
      </c>
      <c r="D28" s="73">
        <v>6</v>
      </c>
      <c r="E28" s="74">
        <f>'I -Signals &amp; Electronics (rep)'!D7</f>
        <v>4553.7241151999997</v>
      </c>
      <c r="F28" s="74">
        <f>(E28+G28)/2</f>
        <v>5182.6461440000003</v>
      </c>
      <c r="G28" s="74">
        <f>'I -Signals &amp; Electronics (rep)'!I7</f>
        <v>5811.5681728000009</v>
      </c>
      <c r="H28" s="73" t="s">
        <v>711</v>
      </c>
      <c r="I28" s="439">
        <f>'I -Signals &amp; Electronics (rep)'!J1</f>
        <v>2017</v>
      </c>
    </row>
    <row r="29" spans="1:9" x14ac:dyDescent="0.2">
      <c r="A29" s="242" t="str">
        <f>'N-Fire (rep)'!B4</f>
        <v>FRN402</v>
      </c>
      <c r="B29" s="4" t="str">
        <f>(('N-Fire (rep)'!C4))</f>
        <v>ASST FIRE TRAINING COORDINATOR</v>
      </c>
      <c r="C29" s="242" t="str">
        <f>'N-Fire (rep)'!A3</f>
        <v>N05</v>
      </c>
      <c r="D29" s="242">
        <v>2</v>
      </c>
      <c r="E29" s="517">
        <f>'N-Fire (rep)'!G3</f>
        <v>8656.3861854113602</v>
      </c>
      <c r="F29" s="517" t="s">
        <v>707</v>
      </c>
      <c r="G29" s="517">
        <f>'N-Fire (rep)'!H3</f>
        <v>9192.2971067339495</v>
      </c>
      <c r="H29" s="242" t="s">
        <v>711</v>
      </c>
      <c r="I29" s="437">
        <f>'N-Fire (rep)'!$I$1</f>
        <v>2015</v>
      </c>
    </row>
    <row r="30" spans="1:9" x14ac:dyDescent="0.2">
      <c r="A30" s="242" t="str">
        <f>'B- Parks,Util,Civic Svc (rep)'!B19</f>
        <v>MRB704</v>
      </c>
      <c r="B30" s="4" t="str">
        <f>'B- Parks,Util,Civic Svc (rep)'!C19</f>
        <v>ASST MECHANICAL SVCS TECH</v>
      </c>
      <c r="C30" s="242" t="str">
        <f>'B- Parks,Util,Civic Svc (rep)'!A19</f>
        <v>B30</v>
      </c>
      <c r="D30" s="242">
        <v>6</v>
      </c>
      <c r="E30" s="517">
        <f>'B- Parks,Util,Civic Svc (rep)'!D19</f>
        <v>3899.4734319999998</v>
      </c>
      <c r="F30" s="517">
        <f>(E30+G30)/2</f>
        <v>4399.4223940000002</v>
      </c>
      <c r="G30" s="517">
        <f>'B- Parks,Util,Civic Svc (rep)'!I19</f>
        <v>4899.3713560000006</v>
      </c>
      <c r="H30" s="242" t="s">
        <v>711</v>
      </c>
      <c r="I30" s="439">
        <f>'B- Parks,Util,Civic Svc (rep)'!$K$1</f>
        <v>2017</v>
      </c>
    </row>
    <row r="31" spans="1:9" x14ac:dyDescent="0.2">
      <c r="A31" s="397" t="str">
        <f>'G - General Pay Plan'!C146</f>
        <v>LNG201</v>
      </c>
      <c r="B31" t="str">
        <f>(('G - General Pay Plan'!D146))</f>
        <v>ATTORNEY 1</v>
      </c>
      <c r="C31" s="397" t="str">
        <f>'G - General Pay Plan'!A146</f>
        <v>G26</v>
      </c>
      <c r="D31" s="397" t="s">
        <v>391</v>
      </c>
      <c r="E31" s="515">
        <f>'G - General Pay Plan'!E146</f>
        <v>5987.0927253500004</v>
      </c>
      <c r="F31" s="515">
        <f>'G - General Pay Plan'!F146</f>
        <v>7123.8498313000009</v>
      </c>
      <c r="G31" s="515">
        <f>'G - General Pay Plan'!G146</f>
        <v>8260.6069372500006</v>
      </c>
      <c r="H31" s="397" t="s">
        <v>710</v>
      </c>
      <c r="I31" s="440">
        <f>'G - General Pay Plan'!$H$1</f>
        <v>2017</v>
      </c>
    </row>
    <row r="32" spans="1:9" x14ac:dyDescent="0.2">
      <c r="A32" s="397" t="str">
        <f>'G - General Pay Plan'!C213</f>
        <v>LNG202</v>
      </c>
      <c r="B32" t="str">
        <f>(('G - General Pay Plan'!D213))</f>
        <v>ATTORNEY 2</v>
      </c>
      <c r="C32" s="397" t="str">
        <f>'G - General Pay Plan'!A212</f>
        <v>G30</v>
      </c>
      <c r="D32" s="397" t="s">
        <v>391</v>
      </c>
      <c r="E32" s="515">
        <f>'G - General Pay Plan'!E212</f>
        <v>7301.4277322666667</v>
      </c>
      <c r="F32" s="515">
        <f>'G - General Pay Plan'!F212</f>
        <v>8687.7011343833346</v>
      </c>
      <c r="G32" s="515">
        <f>'G - General Pay Plan'!G212</f>
        <v>10073.974528016666</v>
      </c>
      <c r="H32" s="397" t="s">
        <v>710</v>
      </c>
      <c r="I32" s="440">
        <f>'G - General Pay Plan'!$H$1</f>
        <v>2017</v>
      </c>
    </row>
    <row r="33" spans="1:9" x14ac:dyDescent="0.2">
      <c r="A33" s="242" t="str">
        <f>'G - General Pay Plan'!C50</f>
        <v>HNG502</v>
      </c>
      <c r="B33" t="str">
        <f>'G - General Pay Plan'!D50</f>
        <v>BENEFITS SPECIALIST</v>
      </c>
      <c r="C33" s="397" t="str">
        <f>'G - General Pay Plan'!A48</f>
        <v>G19</v>
      </c>
      <c r="D33" s="72" t="s">
        <v>391</v>
      </c>
      <c r="E33" s="515">
        <f>'G - General Pay Plan'!E48</f>
        <v>4230.7585845833337</v>
      </c>
      <c r="F33" s="515">
        <f>(E33+G33)/2</f>
        <v>5033.74707605</v>
      </c>
      <c r="G33" s="515">
        <f>'G - General Pay Plan'!G48</f>
        <v>5836.7355675166664</v>
      </c>
      <c r="H33" s="72" t="s">
        <v>711</v>
      </c>
      <c r="I33" s="440">
        <f>'G - General Pay Plan'!$H$1</f>
        <v>2017</v>
      </c>
    </row>
    <row r="34" spans="1:9" x14ac:dyDescent="0.2">
      <c r="A34" s="397" t="str">
        <f>'G - General Pay Plan'!C75</f>
        <v>BNG203</v>
      </c>
      <c r="B34" t="str">
        <f>(('G - General Pay Plan'!D75))</f>
        <v>BUDGET ANALYST</v>
      </c>
      <c r="C34" s="397" t="str">
        <f>'G - General Pay Plan'!A75</f>
        <v>G22</v>
      </c>
      <c r="D34" s="397" t="s">
        <v>391</v>
      </c>
      <c r="E34" s="515">
        <f>'G - General Pay Plan'!E75</f>
        <v>4909.9610331333333</v>
      </c>
      <c r="F34" s="515">
        <f>'G - General Pay Plan'!F75</f>
        <v>5843.2164100166674</v>
      </c>
      <c r="G34" s="515">
        <f>'G - General Pay Plan'!G75</f>
        <v>6776.4717869000006</v>
      </c>
      <c r="H34" s="397" t="s">
        <v>710</v>
      </c>
      <c r="I34" s="440">
        <f>'G - General Pay Plan'!$H$1</f>
        <v>2017</v>
      </c>
    </row>
    <row r="35" spans="1:9" x14ac:dyDescent="0.2">
      <c r="A35" s="397" t="str">
        <f>'G - General Pay Plan'!C238</f>
        <v>BNG217</v>
      </c>
      <c r="B35" s="3" t="str">
        <f>'G - General Pay Plan'!D238</f>
        <v>BUDGET DIVISION MANAGER</v>
      </c>
      <c r="C35" s="397" t="str">
        <f>'G - General Pay Plan'!A238</f>
        <v>G31</v>
      </c>
      <c r="D35" s="397" t="s">
        <v>391</v>
      </c>
      <c r="E35" s="515">
        <f>'G - General Pay Plan'!E238</f>
        <v>7672.1381076166663</v>
      </c>
      <c r="F35" s="515">
        <f>(E35+G35)/2</f>
        <v>9129.7016764666678</v>
      </c>
      <c r="G35" s="515">
        <f>'G - General Pay Plan'!G238</f>
        <v>10587.265245316668</v>
      </c>
      <c r="H35" s="397" t="s">
        <v>710</v>
      </c>
      <c r="I35" s="440">
        <f>'G - General Pay Plan'!$H$1</f>
        <v>2017</v>
      </c>
    </row>
    <row r="36" spans="1:9" x14ac:dyDescent="0.2">
      <c r="A36" s="397" t="str">
        <f>'G - General Pay Plan'!C214</f>
        <v>BNG205</v>
      </c>
      <c r="B36" t="str">
        <f>(('G - General Pay Plan'!D214))</f>
        <v>BUSINESS MANAGER</v>
      </c>
      <c r="C36" s="397" t="str">
        <f>'G - General Pay Plan'!A212</f>
        <v>G30</v>
      </c>
      <c r="D36" s="397" t="s">
        <v>391</v>
      </c>
      <c r="E36" s="515">
        <f>'G - General Pay Plan'!E212</f>
        <v>7301.4277322666667</v>
      </c>
      <c r="F36" s="515">
        <f>'G - General Pay Plan'!F212</f>
        <v>8687.7011343833346</v>
      </c>
      <c r="G36" s="515">
        <f>'G - General Pay Plan'!G212</f>
        <v>10073.974528016666</v>
      </c>
      <c r="H36" s="397" t="s">
        <v>710</v>
      </c>
      <c r="I36" s="440">
        <f>'G - General Pay Plan'!$H$1</f>
        <v>2017</v>
      </c>
    </row>
    <row r="37" spans="1:9" x14ac:dyDescent="0.2">
      <c r="A37" s="397" t="str">
        <f>'G - General Pay Plan'!C109</f>
        <v>ING201</v>
      </c>
      <c r="B37" t="str">
        <f>('G - General Pay Plan'!D109)</f>
        <v>BUSINESS PROCESS ANALYST</v>
      </c>
      <c r="C37" s="397" t="str">
        <f>'G - General Pay Plan'!A106</f>
        <v>G24</v>
      </c>
      <c r="D37" s="397" t="s">
        <v>391</v>
      </c>
      <c r="E37" s="515">
        <f>'G - General Pay Plan'!E106</f>
        <v>5421.9553019833338</v>
      </c>
      <c r="F37" s="515">
        <f>'G - General Pay Plan'!F106</f>
        <v>6451.7769118166661</v>
      </c>
      <c r="G37" s="515">
        <f>'G - General Pay Plan'!G106</f>
        <v>7481.5985301333321</v>
      </c>
      <c r="H37" s="397" t="s">
        <v>710</v>
      </c>
      <c r="I37" s="440">
        <f>'G - General Pay Plan'!$H$1</f>
        <v>2017</v>
      </c>
    </row>
    <row r="38" spans="1:9" x14ac:dyDescent="0.2">
      <c r="A38" s="397" t="str">
        <f>'G - General Pay Plan'!C239</f>
        <v>ING252</v>
      </c>
      <c r="B38" s="3" t="str">
        <f>'G - General Pay Plan'!D239</f>
        <v>BUSINESS SYSTEMS MANAGER</v>
      </c>
      <c r="C38" s="397" t="str">
        <f>'G - General Pay Plan'!A238</f>
        <v>G31</v>
      </c>
      <c r="D38" s="397" t="s">
        <v>391</v>
      </c>
      <c r="E38" s="515">
        <f>'G - General Pay Plan'!E238</f>
        <v>7672.1381076166663</v>
      </c>
      <c r="F38" s="515">
        <f>(E38+G38)/2</f>
        <v>9129.7016764666678</v>
      </c>
      <c r="G38" s="515">
        <f>'G - General Pay Plan'!G238</f>
        <v>10587.265245316668</v>
      </c>
      <c r="H38" s="397" t="s">
        <v>710</v>
      </c>
      <c r="I38" s="440">
        <f>'G - General Pay Plan'!$H$1</f>
        <v>2017</v>
      </c>
    </row>
    <row r="39" spans="1:9" x14ac:dyDescent="0.2">
      <c r="A39" s="397" t="str">
        <f>'G - General Pay Plan'!C66</f>
        <v>BNG503</v>
      </c>
      <c r="B39" t="str">
        <f>(('G - General Pay Plan'!D66))</f>
        <v>BUYER</v>
      </c>
      <c r="C39" s="397" t="str">
        <f>'G - General Pay Plan'!A64</f>
        <v>G21</v>
      </c>
      <c r="D39" s="397" t="s">
        <v>391</v>
      </c>
      <c r="E39" s="515">
        <f>'G - General Pay Plan'!E64</f>
        <v>4671.462211633333</v>
      </c>
      <c r="F39" s="515">
        <f>'G - General Pay Plan'!F64</f>
        <v>5558.7030214166662</v>
      </c>
      <c r="G39" s="515">
        <f>'G - General Pay Plan'!G64</f>
        <v>6445.9438312000011</v>
      </c>
      <c r="H39" s="397" t="s">
        <v>711</v>
      </c>
      <c r="I39" s="440">
        <f>'G - General Pay Plan'!$H$1</f>
        <v>2017</v>
      </c>
    </row>
    <row r="40" spans="1:9" s="3" customFormat="1" x14ac:dyDescent="0.2">
      <c r="A40" s="397" t="str">
        <f>'G - General Pay Plan'!C147</f>
        <v>DNG201</v>
      </c>
      <c r="B40" t="str">
        <f>(('G - General Pay Plan'!D147))</f>
        <v>CAPITAL PROJECT COORDINATOR</v>
      </c>
      <c r="C40" s="397" t="str">
        <f>'G - General Pay Plan'!A146</f>
        <v>G26</v>
      </c>
      <c r="D40" s="397" t="s">
        <v>391</v>
      </c>
      <c r="E40" s="515">
        <f>'G - General Pay Plan'!E146</f>
        <v>5987.0927253500004</v>
      </c>
      <c r="F40" s="515">
        <f>'G - General Pay Plan'!F146</f>
        <v>7123.8498313000009</v>
      </c>
      <c r="G40" s="515">
        <f>'G - General Pay Plan'!G146</f>
        <v>8260.6069372500006</v>
      </c>
      <c r="H40" s="397" t="s">
        <v>710</v>
      </c>
      <c r="I40" s="440">
        <f>'G - General Pay Plan'!$H$1</f>
        <v>2017</v>
      </c>
    </row>
    <row r="41" spans="1:9" s="3" customFormat="1" x14ac:dyDescent="0.2">
      <c r="A41" s="397" t="str">
        <f>'G - General Pay Plan'!C215</f>
        <v>DNG202</v>
      </c>
      <c r="B41" t="str">
        <f>(('G - General Pay Plan'!D215))</f>
        <v>CAPITAL PROJECT MANAGER</v>
      </c>
      <c r="C41" s="397" t="str">
        <f>'G - General Pay Plan'!A212</f>
        <v>G30</v>
      </c>
      <c r="D41" s="397" t="s">
        <v>391</v>
      </c>
      <c r="E41" s="515">
        <f>'G - General Pay Plan'!E212</f>
        <v>7301.4277322666667</v>
      </c>
      <c r="F41" s="515">
        <f>'G - General Pay Plan'!F212</f>
        <v>8687.7011343833346</v>
      </c>
      <c r="G41" s="515">
        <f>'G - General Pay Plan'!G212</f>
        <v>10073.974528016666</v>
      </c>
      <c r="H41" s="397" t="s">
        <v>710</v>
      </c>
      <c r="I41" s="440">
        <f>'G - General Pay Plan'!$H$1</f>
        <v>2017</v>
      </c>
    </row>
    <row r="42" spans="1:9" s="3" customFormat="1" x14ac:dyDescent="0.2">
      <c r="A42" s="397" t="str">
        <f>'G - General Pay Plan'!C240</f>
        <v>GNG204</v>
      </c>
      <c r="B42" s="3" t="str">
        <f>(('G - General Pay Plan'!D240))</f>
        <v>CHIEF COMMUNICATIONS OFFICER</v>
      </c>
      <c r="C42" s="397" t="str">
        <f>'G - General Pay Plan'!A238</f>
        <v>G31</v>
      </c>
      <c r="D42" s="397" t="s">
        <v>391</v>
      </c>
      <c r="E42" s="515">
        <f>'G - General Pay Plan'!E238</f>
        <v>7672.1381076166663</v>
      </c>
      <c r="F42" s="515">
        <f>'G - General Pay Plan'!F238</f>
        <v>9129.701676466666</v>
      </c>
      <c r="G42" s="515">
        <f>'G - General Pay Plan'!G238</f>
        <v>10587.265245316668</v>
      </c>
      <c r="H42" s="397" t="s">
        <v>710</v>
      </c>
      <c r="I42" s="440">
        <f>'G - General Pay Plan'!$H$1</f>
        <v>2017</v>
      </c>
    </row>
    <row r="43" spans="1:9" x14ac:dyDescent="0.2">
      <c r="A43" s="397" t="str">
        <f>'G - General Pay Plan'!C241</f>
        <v>GNG213</v>
      </c>
      <c r="B43" s="514" t="str">
        <f>'G - General Pay Plan'!D241</f>
        <v>CHIEF ECONOMIC DEVELOPMENT OFFICER</v>
      </c>
      <c r="C43" s="397" t="str">
        <f>'G - General Pay Plan'!A238</f>
        <v>G31</v>
      </c>
      <c r="D43" s="44" t="s">
        <v>391</v>
      </c>
      <c r="E43" s="515">
        <f>'G - General Pay Plan'!E238</f>
        <v>7672.1381076166663</v>
      </c>
      <c r="F43" s="515">
        <f>'G - General Pay Plan'!F238</f>
        <v>9129.701676466666</v>
      </c>
      <c r="G43" s="515">
        <f>'G - General Pay Plan'!G238</f>
        <v>10587.265245316668</v>
      </c>
      <c r="H43" s="44" t="s">
        <v>710</v>
      </c>
      <c r="I43" s="440">
        <f>'G - General Pay Plan'!$H$1</f>
        <v>2017</v>
      </c>
    </row>
    <row r="44" spans="1:9" x14ac:dyDescent="0.2">
      <c r="A44" s="397" t="str">
        <f>'E -Executive'!C8</f>
        <v>INE101</v>
      </c>
      <c r="B44" t="str">
        <f>'E -Executive'!D8</f>
        <v>CHIEF INFORMATION OFFICER</v>
      </c>
      <c r="C44" s="397" t="str">
        <f>'E -Executive'!A8</f>
        <v>(E02)</v>
      </c>
      <c r="D44" s="397" t="s">
        <v>391</v>
      </c>
      <c r="E44" s="515">
        <f>'E -Executive'!E8</f>
        <v>9589.4477654999992</v>
      </c>
      <c r="F44" s="515">
        <f>(E44+G44)/2</f>
        <v>12453.815701083335</v>
      </c>
      <c r="G44" s="515">
        <f>'E -Executive'!G8</f>
        <v>15318.183636666668</v>
      </c>
      <c r="H44" s="397" t="s">
        <v>710</v>
      </c>
      <c r="I44" s="439">
        <f>'E -Executive'!$H$1</f>
        <v>2017</v>
      </c>
    </row>
    <row r="45" spans="1:9" x14ac:dyDescent="0.2">
      <c r="A45" s="397" t="str">
        <f>'E -Executive'!C9</f>
        <v>PNE101</v>
      </c>
      <c r="B45" t="str">
        <f>'E -Executive'!D9</f>
        <v>CHIEF OF POLICE</v>
      </c>
      <c r="C45" s="397" t="str">
        <f>'E -Executive'!A8</f>
        <v>(E02)</v>
      </c>
      <c r="D45" s="397" t="s">
        <v>391</v>
      </c>
      <c r="E45" s="515">
        <f>'E -Executive'!E8</f>
        <v>9589.4477654999992</v>
      </c>
      <c r="F45" s="515">
        <f>(E45+G45)/2</f>
        <v>12453.815701083335</v>
      </c>
      <c r="G45" s="515">
        <f>'E -Executive'!G8</f>
        <v>15318.183636666668</v>
      </c>
      <c r="H45" s="397" t="s">
        <v>710</v>
      </c>
      <c r="I45" s="439">
        <f>'E -Executive'!$H$1</f>
        <v>2017</v>
      </c>
    </row>
    <row r="46" spans="1:9" x14ac:dyDescent="0.2">
      <c r="A46" s="397" t="str">
        <f>'E -Executive'!C10</f>
        <v>LNE101</v>
      </c>
      <c r="B46" t="str">
        <f>'E -Executive'!D10</f>
        <v>CITY ATTORNEY</v>
      </c>
      <c r="C46" s="397" t="str">
        <f>'E -Executive'!A8</f>
        <v>(E02)</v>
      </c>
      <c r="D46" s="397" t="s">
        <v>391</v>
      </c>
      <c r="E46" s="515">
        <f>'E -Executive'!E8</f>
        <v>9589.4477654999992</v>
      </c>
      <c r="F46" s="515">
        <f>(E46+G46)/2</f>
        <v>12453.815701083335</v>
      </c>
      <c r="G46" s="515">
        <f>'E -Executive'!G8</f>
        <v>15318.183636666668</v>
      </c>
      <c r="H46" s="397" t="s">
        <v>710</v>
      </c>
      <c r="I46" s="439">
        <f>'E -Executive'!$H$1</f>
        <v>2017</v>
      </c>
    </row>
    <row r="47" spans="1:9" x14ac:dyDescent="0.2">
      <c r="A47" s="397" t="str">
        <f>'T-City Manager exp 2-23-17'!C3</f>
        <v>XNE101</v>
      </c>
      <c r="B47" s="2" t="str">
        <f>(('T-City Manager exp 2-23-17'!D3))</f>
        <v>CITY MANAGER</v>
      </c>
      <c r="C47" s="397" t="str">
        <f>'T-City Manager exp 2-23-17'!A3</f>
        <v>T01</v>
      </c>
      <c r="D47" s="397" t="s">
        <v>391</v>
      </c>
      <c r="E47" s="515" t="s">
        <v>707</v>
      </c>
      <c r="F47" s="515" t="s">
        <v>707</v>
      </c>
      <c r="G47" s="515">
        <f>'T-City Manager eff 2-24-17'!E3</f>
        <v>21673.099239750001</v>
      </c>
      <c r="H47" s="397" t="s">
        <v>710</v>
      </c>
      <c r="I47" s="439">
        <f>'T-City Manager exp 2-23-17'!F1</f>
        <v>2017</v>
      </c>
    </row>
    <row r="48" spans="1:9" x14ac:dyDescent="0.2">
      <c r="A48" s="73" t="str">
        <f>'H- Bldg Insp, Examiners (rep)'!C8</f>
        <v>JRH201</v>
      </c>
      <c r="B48" t="str">
        <f>'H- Bldg Insp, Examiners (rep)'!D8</f>
        <v>CLEARING &amp; GRADING REVIEWER</v>
      </c>
      <c r="C48" s="73" t="str">
        <f>'H- Bldg Insp, Examiners (rep)'!A7</f>
        <v>H03</v>
      </c>
      <c r="D48" s="73">
        <v>3</v>
      </c>
      <c r="E48" s="74">
        <f>'H- Bldg Insp, Examiners (rep)'!E7</f>
        <v>6999.3373562000006</v>
      </c>
      <c r="F48" s="74">
        <f>'H- Bldg Insp, Examiners (rep)'!F7</f>
        <v>7355.823922300001</v>
      </c>
      <c r="G48" s="74">
        <f>'H- Bldg Insp, Examiners (rep)'!G7</f>
        <v>7726.6911774500004</v>
      </c>
      <c r="H48" s="73" t="s">
        <v>710</v>
      </c>
      <c r="I48" s="439">
        <f>'H- Bldg Insp, Examiners (rep)'!$H$1</f>
        <v>2017</v>
      </c>
    </row>
    <row r="49" spans="1:9" x14ac:dyDescent="0.2">
      <c r="A49" s="242" t="str">
        <f>'G - General Pay Plan'!C110</f>
        <v>JNG301</v>
      </c>
      <c r="B49" t="str">
        <f>(('G - General Pay Plan'!D110))</f>
        <v>CODE COMPLIANCE OFFICER</v>
      </c>
      <c r="C49" s="242" t="str">
        <f>'G - General Pay Plan'!A106</f>
        <v>G24</v>
      </c>
      <c r="D49" s="242" t="s">
        <v>391</v>
      </c>
      <c r="E49" s="516">
        <f>'G - General Pay Plan'!E106</f>
        <v>5421.9553019833338</v>
      </c>
      <c r="F49" s="516">
        <f>'G - General Pay Plan'!F106</f>
        <v>6451.7769118166661</v>
      </c>
      <c r="G49" s="516">
        <f>'G - General Pay Plan'!G106</f>
        <v>7481.5985301333321</v>
      </c>
      <c r="H49" s="242" t="s">
        <v>711</v>
      </c>
      <c r="I49" s="440">
        <f>'G - General Pay Plan'!$H$1</f>
        <v>2017</v>
      </c>
    </row>
    <row r="50" spans="1:9" x14ac:dyDescent="0.2">
      <c r="A50" s="242" t="str">
        <f>'G - General Pay Plan'!C169</f>
        <v>JNG201</v>
      </c>
      <c r="B50" t="str">
        <f>(('G - General Pay Plan'!D169))</f>
        <v>CODE COMPLIANCE SUPERVISOR</v>
      </c>
      <c r="C50" s="242" t="str">
        <f>'G - General Pay Plan'!A167</f>
        <v>G27</v>
      </c>
      <c r="D50" s="242" t="s">
        <v>391</v>
      </c>
      <c r="E50" s="516">
        <f>'G - General Pay Plan'!E167</f>
        <v>6291.6973280166667</v>
      </c>
      <c r="F50" s="516">
        <f>'G - General Pay Plan'!F167</f>
        <v>7486.7829241833342</v>
      </c>
      <c r="G50" s="516">
        <f>'G - General Pay Plan'!G167</f>
        <v>8681.8685118666672</v>
      </c>
      <c r="H50" s="242" t="s">
        <v>710</v>
      </c>
      <c r="I50" s="440">
        <f>'G - General Pay Plan'!$H$1</f>
        <v>2017</v>
      </c>
    </row>
    <row r="51" spans="1:9" x14ac:dyDescent="0.2">
      <c r="A51" s="73" t="str">
        <f>'H- Bldg Insp, Examiners (rep)'!C7</f>
        <v>JRH301</v>
      </c>
      <c r="B51" t="str">
        <f>'H- Bldg Insp, Examiners (rep)'!D7</f>
        <v>COMBINATION INSPECTOR</v>
      </c>
      <c r="C51" s="73" t="str">
        <f>'H- Bldg Insp, Examiners (rep)'!A7</f>
        <v>H03</v>
      </c>
      <c r="D51" s="73">
        <v>3</v>
      </c>
      <c r="E51" s="74">
        <f>'H- Bldg Insp, Examiners (rep)'!E7</f>
        <v>6999.3373562000006</v>
      </c>
      <c r="F51" s="74">
        <f>'H- Bldg Insp, Examiners (rep)'!F7</f>
        <v>7355.823922300001</v>
      </c>
      <c r="G51" s="74">
        <f>'H- Bldg Insp, Examiners (rep)'!G7</f>
        <v>7726.6911774500004</v>
      </c>
      <c r="H51" s="73" t="s">
        <v>711</v>
      </c>
      <c r="I51" s="439">
        <f>'H- Bldg Insp, Examiners (rep)'!$H$1</f>
        <v>2017</v>
      </c>
    </row>
    <row r="52" spans="1:9" x14ac:dyDescent="0.2">
      <c r="A52" s="397" t="str">
        <f>'G - General Pay Plan'!C168</f>
        <v>GNG214</v>
      </c>
      <c r="B52" t="str">
        <f>'G - General Pay Plan'!D168</f>
        <v>COMMUNICATIONS MANAGER</v>
      </c>
      <c r="C52" s="397" t="str">
        <f>'G - General Pay Plan'!A167</f>
        <v>G27</v>
      </c>
      <c r="D52" s="44" t="s">
        <v>391</v>
      </c>
      <c r="E52" s="515">
        <f>'G - General Pay Plan'!E167</f>
        <v>6291.6973280166667</v>
      </c>
      <c r="F52" s="515">
        <f>'G - General Pay Plan'!F167</f>
        <v>7486.7829241833342</v>
      </c>
      <c r="G52" s="515">
        <f>'G - General Pay Plan'!G167</f>
        <v>8681.8685118666672</v>
      </c>
      <c r="H52" s="397" t="s">
        <v>710</v>
      </c>
      <c r="I52" s="440">
        <f>'G - General Pay Plan'!$H$1</f>
        <v>2017</v>
      </c>
    </row>
    <row r="53" spans="1:9" s="3" customFormat="1" x14ac:dyDescent="0.2">
      <c r="A53" s="397" t="str">
        <f>'G - General Pay Plan'!C242</f>
        <v>DNG222</v>
      </c>
      <c r="B53" s="3" t="str">
        <f>(('G - General Pay Plan'!D242))</f>
        <v>COMMUNITY DEVELOPMENT MANAGER</v>
      </c>
      <c r="C53" s="397" t="str">
        <f>'G - General Pay Plan'!A238</f>
        <v>G31</v>
      </c>
      <c r="D53" s="397" t="s">
        <v>391</v>
      </c>
      <c r="E53" s="515">
        <f>'G - General Pay Plan'!E238</f>
        <v>7672.1381076166663</v>
      </c>
      <c r="F53" s="515">
        <f>'G - General Pay Plan'!F238</f>
        <v>9129.701676466666</v>
      </c>
      <c r="G53" s="515">
        <f>'G - General Pay Plan'!G238</f>
        <v>10587.265245316668</v>
      </c>
      <c r="H53" s="397" t="s">
        <v>710</v>
      </c>
      <c r="I53" s="440">
        <f>'G - General Pay Plan'!$H$1</f>
        <v>2017</v>
      </c>
    </row>
    <row r="54" spans="1:9" s="3" customFormat="1" x14ac:dyDescent="0.2">
      <c r="A54" s="397" t="str">
        <f>'G - General Pay Plan'!C111</f>
        <v>GNG201</v>
      </c>
      <c r="B54" t="str">
        <f>(('G - General Pay Plan'!D111))</f>
        <v>COMMUNITY RELATIONS COORDINATOR</v>
      </c>
      <c r="C54" s="397" t="str">
        <f>'G - General Pay Plan'!A106</f>
        <v>G24</v>
      </c>
      <c r="D54" s="397" t="s">
        <v>391</v>
      </c>
      <c r="E54" s="515">
        <f>'G - General Pay Plan'!E106</f>
        <v>5421.9553019833338</v>
      </c>
      <c r="F54" s="515">
        <f>'G - General Pay Plan'!F106</f>
        <v>6451.7769118166661</v>
      </c>
      <c r="G54" s="515">
        <f>'G - General Pay Plan'!G106</f>
        <v>7481.5985301333321</v>
      </c>
      <c r="H54" s="397" t="s">
        <v>710</v>
      </c>
      <c r="I54" s="440">
        <f>'G - General Pay Plan'!$H$1</f>
        <v>2017</v>
      </c>
    </row>
    <row r="55" spans="1:9" s="3" customFormat="1" x14ac:dyDescent="0.2">
      <c r="A55" s="397" t="str">
        <f>'G - General Pay Plan'!C112</f>
        <v>RNG203</v>
      </c>
      <c r="B55" t="str">
        <f>(('G - General Pay Plan'!D112))</f>
        <v>COMMUNITY SERVICES PROGRAM COORDINATOR</v>
      </c>
      <c r="C55" s="397" t="str">
        <f>'G - General Pay Plan'!A106</f>
        <v>G24</v>
      </c>
      <c r="D55" s="397" t="s">
        <v>391</v>
      </c>
      <c r="E55" s="515">
        <f>'G - General Pay Plan'!E106</f>
        <v>5421.9553019833338</v>
      </c>
      <c r="F55" s="515">
        <f>'G - General Pay Plan'!F106</f>
        <v>6451.7769118166661</v>
      </c>
      <c r="G55" s="515">
        <f>'G - General Pay Plan'!G106</f>
        <v>7481.5985301333321</v>
      </c>
      <c r="H55" s="397" t="s">
        <v>710</v>
      </c>
      <c r="I55" s="440">
        <f>'G - General Pay Plan'!$H$1</f>
        <v>2017</v>
      </c>
    </row>
    <row r="56" spans="1:9" x14ac:dyDescent="0.2">
      <c r="A56" s="397" t="str">
        <f>'G - General Pay Plan'!C148</f>
        <v>RNG204</v>
      </c>
      <c r="B56" t="str">
        <f>(('G - General Pay Plan'!D148))</f>
        <v>COMMUNITY SERVICES SUPERVISOR</v>
      </c>
      <c r="C56" s="397" t="str">
        <f>'G - General Pay Plan'!A146</f>
        <v>G26</v>
      </c>
      <c r="D56" s="397" t="s">
        <v>391</v>
      </c>
      <c r="E56" s="515">
        <f>'G - General Pay Plan'!E146</f>
        <v>5987.0927253500004</v>
      </c>
      <c r="F56" s="515">
        <f>'G - General Pay Plan'!F146</f>
        <v>7123.8498313000009</v>
      </c>
      <c r="G56" s="515">
        <f>'G - General Pay Plan'!G146</f>
        <v>8260.6069372500006</v>
      </c>
      <c r="H56" s="397" t="s">
        <v>710</v>
      </c>
      <c r="I56" s="440">
        <f>'G - General Pay Plan'!$H$1</f>
        <v>2017</v>
      </c>
    </row>
    <row r="57" spans="1:9" x14ac:dyDescent="0.2">
      <c r="A57" s="397" t="str">
        <f>'G - General Pay Plan'!C76</f>
        <v>JNG303</v>
      </c>
      <c r="B57" t="str">
        <f>(('G - General Pay Plan'!D76))</f>
        <v>CONSTRUCTION PROJECT INSPECTOR</v>
      </c>
      <c r="C57" s="397" t="str">
        <f>'G - General Pay Plan'!A75</f>
        <v>G22</v>
      </c>
      <c r="D57" s="397" t="s">
        <v>391</v>
      </c>
      <c r="E57" s="515">
        <f>'G - General Pay Plan'!E75</f>
        <v>4909.9610331333333</v>
      </c>
      <c r="F57" s="515">
        <f>'G - General Pay Plan'!F75</f>
        <v>5843.2164100166674</v>
      </c>
      <c r="G57" s="515">
        <f>'G - General Pay Plan'!G75</f>
        <v>6776.4717869000006</v>
      </c>
      <c r="H57" s="397" t="s">
        <v>711</v>
      </c>
      <c r="I57" s="440">
        <f>'G - General Pay Plan'!$H$1</f>
        <v>2017</v>
      </c>
    </row>
    <row r="58" spans="1:9" x14ac:dyDescent="0.2">
      <c r="A58" s="397" t="str">
        <f>'G - General Pay Plan'!C261</f>
        <v>LNG203</v>
      </c>
      <c r="B58" t="str">
        <f>(('G - General Pay Plan'!D261))</f>
        <v>CONSULTING ATTORNEY</v>
      </c>
      <c r="C58" s="397" t="str">
        <f>'G - General Pay Plan'!A261</f>
        <v>G33</v>
      </c>
      <c r="D58" s="397" t="s">
        <v>391</v>
      </c>
      <c r="E58" s="515">
        <f>'G - General Pay Plan'!E261</f>
        <v>8470.5895003333335</v>
      </c>
      <c r="F58" s="515">
        <f>'G - General Pay Plan'!F261</f>
        <v>10081.751352383333</v>
      </c>
      <c r="G58" s="515">
        <f>'G - General Pay Plan'!G261</f>
        <v>11692.913195950001</v>
      </c>
      <c r="H58" s="397" t="s">
        <v>710</v>
      </c>
      <c r="I58" s="440">
        <f>'G - General Pay Plan'!$H$1</f>
        <v>2017</v>
      </c>
    </row>
    <row r="59" spans="1:9" x14ac:dyDescent="0.2">
      <c r="A59" s="397" t="str">
        <f>'G - General Pay Plan'!C113</f>
        <v>ANG203</v>
      </c>
      <c r="B59" t="str">
        <f>(('G - General Pay Plan'!D113))</f>
        <v>CONTRACT ADMINISTRATOR</v>
      </c>
      <c r="C59" s="397" t="str">
        <f>'G - General Pay Plan'!A106</f>
        <v>G24</v>
      </c>
      <c r="D59" s="397" t="s">
        <v>391</v>
      </c>
      <c r="E59" s="515">
        <f>'G - General Pay Plan'!E106</f>
        <v>5421.9553019833338</v>
      </c>
      <c r="F59" s="515">
        <f>'G - General Pay Plan'!F106</f>
        <v>6451.7769118166661</v>
      </c>
      <c r="G59" s="515">
        <f>'G - General Pay Plan'!G106</f>
        <v>7481.5985301333321</v>
      </c>
      <c r="H59" s="397" t="s">
        <v>710</v>
      </c>
      <c r="I59" s="440">
        <f>'G - General Pay Plan'!$H$1</f>
        <v>2017</v>
      </c>
    </row>
    <row r="60" spans="1:9" x14ac:dyDescent="0.2">
      <c r="A60" s="397" t="str">
        <f>'C- City Council exp 1-6-17'!C3</f>
        <v>CNC101</v>
      </c>
      <c r="B60" s="2" t="str">
        <f>'C- City Council exp 1-6-17'!D3</f>
        <v>COUNCIL MEMBER</v>
      </c>
      <c r="C60" s="397" t="str">
        <f>'C- City Council exp 1-6-17'!A3</f>
        <v>C01</v>
      </c>
      <c r="D60" s="397" t="s">
        <v>391</v>
      </c>
      <c r="E60" s="515" t="s">
        <v>707</v>
      </c>
      <c r="F60" s="515" t="s">
        <v>707</v>
      </c>
      <c r="G60" s="515">
        <f>'C- City Council eff 1-7-17'!E3</f>
        <v>2394</v>
      </c>
      <c r="H60" s="397" t="s">
        <v>710</v>
      </c>
      <c r="I60" s="439">
        <f>'C- City Council exp 1-6-17'!$F$1</f>
        <v>2017</v>
      </c>
    </row>
    <row r="61" spans="1:9" x14ac:dyDescent="0.2">
      <c r="A61" s="242" t="str">
        <f>'B- Parks,Util,Civic Svc (rep)'!B51</f>
        <v>MRB701</v>
      </c>
      <c r="B61" s="4" t="str">
        <f>'B- Parks,Util,Civic Svc (rep)'!C51</f>
        <v>CREW LEADER</v>
      </c>
      <c r="C61" s="242" t="str">
        <f>'B- Parks,Util,Civic Svc (rep)'!A51</f>
        <v>B34</v>
      </c>
      <c r="D61" s="242">
        <v>6</v>
      </c>
      <c r="E61" s="517">
        <f>'B- Parks,Util,Civic Svc (rep)'!D51</f>
        <v>5273.2237120000009</v>
      </c>
      <c r="F61" s="517">
        <f>(E61+G61)/2</f>
        <v>5948.0599840000014</v>
      </c>
      <c r="G61" s="517">
        <f>'B- Parks,Util,Civic Svc (rep)'!I51</f>
        <v>6622.8962560000009</v>
      </c>
      <c r="H61" s="242" t="s">
        <v>711</v>
      </c>
      <c r="I61" s="439">
        <f>'B- Parks,Util,Civic Svc (rep)'!$K$1</f>
        <v>2017</v>
      </c>
    </row>
    <row r="62" spans="1:9" x14ac:dyDescent="0.2">
      <c r="A62" s="242" t="str">
        <f>'B- Parks,Util,Civic Svc (rep)'!B55</f>
        <v>MRB711</v>
      </c>
      <c r="B62" s="4" t="str">
        <f>'B- Parks,Util,Civic Svc (rep)'!C55</f>
        <v>CREW LEADER - TECH SPEC</v>
      </c>
      <c r="C62" s="242" t="str">
        <f>'B- Parks,Util,Civic Svc (rep)'!A55</f>
        <v>B42</v>
      </c>
      <c r="D62" s="242">
        <v>6</v>
      </c>
      <c r="E62" s="517">
        <f>'B- Parks,Util,Civic Svc (rep)'!D55</f>
        <v>5539.3563979999999</v>
      </c>
      <c r="F62" s="517">
        <f>(E62+G62)/2</f>
        <v>6187.5790959999995</v>
      </c>
      <c r="G62" s="517">
        <f>'B- Parks,Util,Civic Svc (rep)'!I55</f>
        <v>6835.801794</v>
      </c>
      <c r="H62" s="242" t="s">
        <v>711</v>
      </c>
      <c r="I62" s="439">
        <f>'B- Parks,Util,Civic Svc (rep)'!$K$1</f>
        <v>2017</v>
      </c>
    </row>
    <row r="63" spans="1:9" x14ac:dyDescent="0.2">
      <c r="A63" s="242" t="str">
        <f>'B- Parks,Util,Civic Svc (rep)'!B7</f>
        <v>MRB801</v>
      </c>
      <c r="B63" s="4" t="str">
        <f>'B- Parks,Util,Civic Svc (rep)'!C7</f>
        <v>CUSTODIAN</v>
      </c>
      <c r="C63" s="242" t="str">
        <f>'B- Parks,Util,Civic Svc (rep)'!A7</f>
        <v>B29</v>
      </c>
      <c r="D63" s="242">
        <v>6</v>
      </c>
      <c r="E63" s="517">
        <f>'B- Parks,Util,Civic Svc (rep)'!D7</f>
        <v>3085.8684899999998</v>
      </c>
      <c r="F63" s="517">
        <f>(E63+G63)/2</f>
        <v>3571.2437639999998</v>
      </c>
      <c r="G63" s="517">
        <f>'B- Parks,Util,Civic Svc (rep)'!I7</f>
        <v>4056.6190380000003</v>
      </c>
      <c r="H63" s="242" t="s">
        <v>711</v>
      </c>
      <c r="I63" s="439">
        <f>'B- Parks,Util,Civic Svc (rep)'!$K$1</f>
        <v>2017</v>
      </c>
    </row>
    <row r="64" spans="1:9" x14ac:dyDescent="0.2">
      <c r="A64" s="242" t="str">
        <f>'B- Parks,Util,Civic Svc (rep)'!B15</f>
        <v>MRB809</v>
      </c>
      <c r="B64" s="4" t="str">
        <f>'B- Parks,Util,Civic Svc (rep)'!C15</f>
        <v>CUSTODIAN LEAD</v>
      </c>
      <c r="C64" s="242" t="str">
        <f>'B- Parks,Util,Civic Svc (rep)'!A15</f>
        <v>B45</v>
      </c>
      <c r="D64" s="242">
        <v>6</v>
      </c>
      <c r="E64" s="517">
        <f>'B- Parks,Util,Civic Svc (rep)'!D15</f>
        <v>3394.4558480000001</v>
      </c>
      <c r="F64" s="517">
        <f>(E64+G64)/2</f>
        <v>3928.3683440000004</v>
      </c>
      <c r="G64" s="517">
        <f>'B- Parks,Util,Civic Svc (rep)'!I15</f>
        <v>4462.2808400000004</v>
      </c>
      <c r="H64" s="242" t="s">
        <v>711</v>
      </c>
      <c r="I64" s="439">
        <f>'B- Parks,Util,Civic Svc (rep)'!$K$1</f>
        <v>2017</v>
      </c>
    </row>
    <row r="65" spans="1:9" x14ac:dyDescent="0.2">
      <c r="A65" s="397" t="str">
        <f>'G - General Pay Plan'!C32</f>
        <v>ANG501</v>
      </c>
      <c r="B65" t="str">
        <f>(('G - General Pay Plan'!D32))</f>
        <v>CUSTOMER SERVICE REPRESENTATIVE</v>
      </c>
      <c r="C65" s="397" t="str">
        <f>'G - General Pay Plan'!A31</f>
        <v>G16</v>
      </c>
      <c r="D65" s="397" t="s">
        <v>391</v>
      </c>
      <c r="E65" s="515">
        <f>'G - General Pay Plan'!E31</f>
        <v>3644.8807855166665</v>
      </c>
      <c r="F65" s="515">
        <f>(E65+G65)/2</f>
        <v>4338.3418298583329</v>
      </c>
      <c r="G65" s="515">
        <f>'G - General Pay Plan'!G31</f>
        <v>5031.8028741999997</v>
      </c>
      <c r="H65" s="397" t="s">
        <v>711</v>
      </c>
      <c r="I65" s="440">
        <f>'G - General Pay Plan'!$H$1</f>
        <v>2017</v>
      </c>
    </row>
    <row r="66" spans="1:9" x14ac:dyDescent="0.2">
      <c r="A66" s="397" t="str">
        <f>'G - General Pay Plan'!C67</f>
        <v>ING301</v>
      </c>
      <c r="B66" t="str">
        <f>('G - General Pay Plan'!D67)</f>
        <v>DATA ANALYST</v>
      </c>
      <c r="C66" s="397" t="str">
        <f>'G - General Pay Plan'!A64</f>
        <v>G21</v>
      </c>
      <c r="D66" s="397" t="s">
        <v>391</v>
      </c>
      <c r="E66" s="515">
        <f>'G - General Pay Plan'!E64</f>
        <v>4671.462211633333</v>
      </c>
      <c r="F66" s="515">
        <f>'G - General Pay Plan'!F64</f>
        <v>5558.7030214166662</v>
      </c>
      <c r="G66" s="515">
        <f>'G - General Pay Plan'!G64</f>
        <v>6445.9438312000011</v>
      </c>
      <c r="H66" s="397" t="s">
        <v>711</v>
      </c>
      <c r="I66" s="440">
        <f>'G - General Pay Plan'!$H$1</f>
        <v>2017</v>
      </c>
    </row>
    <row r="67" spans="1:9" x14ac:dyDescent="0.2">
      <c r="A67" s="397" t="str">
        <f>'G - General Pay Plan'!C149</f>
        <v>GNG205</v>
      </c>
      <c r="B67" t="str">
        <f>('G - General Pay Plan'!D149)</f>
        <v>DEPARTMENT PUBLIC INFORMATION OFFICER</v>
      </c>
      <c r="C67" s="397" t="str">
        <f>'G - General Pay Plan'!A146</f>
        <v>G26</v>
      </c>
      <c r="D67" s="397" t="s">
        <v>391</v>
      </c>
      <c r="E67" s="515">
        <f>'G - General Pay Plan'!E146</f>
        <v>5987.0927253500004</v>
      </c>
      <c r="F67" s="515">
        <f>'G - General Pay Plan'!F146</f>
        <v>7123.8498313000009</v>
      </c>
      <c r="G67" s="515">
        <f>'G - General Pay Plan'!G146</f>
        <v>8260.6069372500006</v>
      </c>
      <c r="H67" s="397" t="s">
        <v>710</v>
      </c>
      <c r="I67" s="440">
        <f>'G - General Pay Plan'!$H$1</f>
        <v>2017</v>
      </c>
    </row>
    <row r="68" spans="1:9" x14ac:dyDescent="0.2">
      <c r="A68" s="397" t="str">
        <f>'M-Mid Mgmt'!C17</f>
        <v>LNM201</v>
      </c>
      <c r="B68" t="str">
        <f>('M-Mid Mgmt'!D17)</f>
        <v>DEPUTY CITY ATTORNEY</v>
      </c>
      <c r="C68" s="397" t="str">
        <f>'M-Mid Mgmt'!A15</f>
        <v>M02</v>
      </c>
      <c r="D68" s="397" t="s">
        <v>391</v>
      </c>
      <c r="E68" s="515">
        <f>'M-Mid Mgmt'!E15</f>
        <v>8902.2198630500006</v>
      </c>
      <c r="F68" s="515">
        <f>'M-Mid Mgmt'!F15</f>
        <v>10593.745612750001</v>
      </c>
      <c r="G68" s="515">
        <f>'M-Mid Mgmt'!G15</f>
        <v>12285.271370933335</v>
      </c>
      <c r="H68" s="397" t="s">
        <v>710</v>
      </c>
      <c r="I68" s="439">
        <f>'M-Mid Mgmt'!$H$1</f>
        <v>2017</v>
      </c>
    </row>
    <row r="69" spans="1:9" x14ac:dyDescent="0.2">
      <c r="A69" s="397" t="str">
        <f>'G - General Pay Plan'!C114</f>
        <v>ANG205</v>
      </c>
      <c r="B69" t="str">
        <f>('G - General Pay Plan'!D114)</f>
        <v>DEPUTY CITY CLERK</v>
      </c>
      <c r="C69" s="397" t="str">
        <f>'G - General Pay Plan'!A106</f>
        <v>G24</v>
      </c>
      <c r="D69" s="397" t="s">
        <v>391</v>
      </c>
      <c r="E69" s="515">
        <f>'G - General Pay Plan'!E106</f>
        <v>5421.9553019833338</v>
      </c>
      <c r="F69" s="515">
        <f>'G - General Pay Plan'!F106</f>
        <v>6451.7769118166661</v>
      </c>
      <c r="G69" s="515">
        <f>'G - General Pay Plan'!G106</f>
        <v>7481.5985301333321</v>
      </c>
      <c r="H69" s="397" t="s">
        <v>710</v>
      </c>
      <c r="I69" s="440">
        <f>'G - General Pay Plan'!$H$1</f>
        <v>2017</v>
      </c>
    </row>
    <row r="70" spans="1:9" x14ac:dyDescent="0.2">
      <c r="A70" s="1" t="str">
        <f>'E -Executive'!C20</f>
        <v>XNE102</v>
      </c>
      <c r="B70" t="str">
        <f>('E -Executive'!D20)</f>
        <v>DEPUTY CITY MANAGER</v>
      </c>
      <c r="C70" s="241" t="str">
        <f>'E -Executive'!A21</f>
        <v>(E03)</v>
      </c>
      <c r="D70" s="397" t="s">
        <v>391</v>
      </c>
      <c r="E70" s="515">
        <f>'E -Executive'!E20</f>
        <v>10512.982540333334</v>
      </c>
      <c r="F70" s="515">
        <f>(E70+G70)/2</f>
        <v>13653.183683916668</v>
      </c>
      <c r="G70" s="515">
        <f>'E -Executive'!G20</f>
        <v>16793.384827500002</v>
      </c>
      <c r="H70" s="397" t="s">
        <v>710</v>
      </c>
      <c r="I70" s="439">
        <f>'E -Executive'!$H$1</f>
        <v>2017</v>
      </c>
    </row>
    <row r="71" spans="1:9" x14ac:dyDescent="0.2">
      <c r="A71" s="397" t="str">
        <f>'M-Mid Mgmt'!C18</f>
        <v>RNM202</v>
      </c>
      <c r="B71" t="str">
        <f>('M-Mid Mgmt'!D18)</f>
        <v>DEPUTY DIR, PARKS &amp; COMMUNITY SERVICES</v>
      </c>
      <c r="C71" s="397" t="str">
        <f>'M-Mid Mgmt'!A15</f>
        <v>M02</v>
      </c>
      <c r="D71" s="397" t="s">
        <v>391</v>
      </c>
      <c r="E71" s="515">
        <f>'M-Mid Mgmt'!E15</f>
        <v>8902.2198630500006</v>
      </c>
      <c r="F71" s="515">
        <f>'M-Mid Mgmt'!F15</f>
        <v>10593.745612750001</v>
      </c>
      <c r="G71" s="515">
        <f>'M-Mid Mgmt'!G15</f>
        <v>12285.271370933335</v>
      </c>
      <c r="H71" s="397" t="s">
        <v>710</v>
      </c>
      <c r="I71" s="439">
        <f>'M-Mid Mgmt'!$H$1</f>
        <v>2017</v>
      </c>
    </row>
    <row r="72" spans="1:9" x14ac:dyDescent="0.2">
      <c r="A72" s="1" t="str">
        <f>'M-Mid Mgmt'!C19</f>
        <v>ENM204</v>
      </c>
      <c r="B72" t="str">
        <f>('M-Mid Mgmt'!D19)</f>
        <v>DEPUTY DIR, TRANSPORTATION</v>
      </c>
      <c r="C72" s="1" t="str">
        <f>'M-Mid Mgmt'!A15</f>
        <v>M02</v>
      </c>
      <c r="D72" s="397" t="s">
        <v>391</v>
      </c>
      <c r="E72" s="515">
        <f>'M-Mid Mgmt'!E15</f>
        <v>8902.2198630500006</v>
      </c>
      <c r="F72" s="515">
        <f>'M-Mid Mgmt'!F15</f>
        <v>10593.745612750001</v>
      </c>
      <c r="G72" s="515">
        <f>'M-Mid Mgmt'!G15</f>
        <v>12285.271370933335</v>
      </c>
      <c r="H72" s="397" t="s">
        <v>710</v>
      </c>
      <c r="I72" s="439">
        <f>'M-Mid Mgmt'!$H$1</f>
        <v>2017</v>
      </c>
    </row>
    <row r="73" spans="1:9" x14ac:dyDescent="0.2">
      <c r="A73" s="397" t="str">
        <f>'M-Mid Mgmt'!C20</f>
        <v>ENM203</v>
      </c>
      <c r="B73" t="str">
        <f>('M-Mid Mgmt'!D20)</f>
        <v>DEPUTY DIR, UTILITIES</v>
      </c>
      <c r="C73" s="397" t="str">
        <f>'M-Mid Mgmt'!A15</f>
        <v>M02</v>
      </c>
      <c r="D73" s="397" t="s">
        <v>391</v>
      </c>
      <c r="E73" s="515">
        <f>'M-Mid Mgmt'!E15</f>
        <v>8902.2198630500006</v>
      </c>
      <c r="F73" s="515">
        <f>'M-Mid Mgmt'!F15</f>
        <v>10593.745612750001</v>
      </c>
      <c r="G73" s="515">
        <f>'M-Mid Mgmt'!G15</f>
        <v>12285.271370933335</v>
      </c>
      <c r="H73" s="397" t="s">
        <v>710</v>
      </c>
      <c r="I73" s="439">
        <f>'M-Mid Mgmt'!$H$1</f>
        <v>2017</v>
      </c>
    </row>
    <row r="74" spans="1:9" x14ac:dyDescent="0.2">
      <c r="A74" s="397" t="str">
        <f>'M-Mid Mgmt'!C21</f>
        <v>FNM201</v>
      </c>
      <c r="B74" t="str">
        <f>('M-Mid Mgmt'!D21)</f>
        <v>DEPUTY FIRE CHIEF</v>
      </c>
      <c r="C74" s="397" t="str">
        <f>'M-Mid Mgmt'!A15</f>
        <v>M02</v>
      </c>
      <c r="D74" s="397" t="s">
        <v>391</v>
      </c>
      <c r="E74" s="515">
        <f>'M-Mid Mgmt'!E15</f>
        <v>8902.2198630500006</v>
      </c>
      <c r="F74" s="515">
        <f>'M-Mid Mgmt'!F15</f>
        <v>10593.745612750001</v>
      </c>
      <c r="G74" s="515">
        <f>'M-Mid Mgmt'!G15</f>
        <v>12285.271370933335</v>
      </c>
      <c r="H74" s="397" t="s">
        <v>710</v>
      </c>
      <c r="I74" s="439">
        <f>'M-Mid Mgmt'!$H$1</f>
        <v>2017</v>
      </c>
    </row>
    <row r="75" spans="1:9" x14ac:dyDescent="0.2">
      <c r="A75" s="397" t="str">
        <f>'C- City Council exp 1-6-17'!C6</f>
        <v>CNC102</v>
      </c>
      <c r="B75" t="str">
        <f>'C- City Council exp 1-6-17'!D6</f>
        <v>DEPUTY MAYOR</v>
      </c>
      <c r="C75" s="397" t="str">
        <f>'C- City Council exp 1-6-17'!A6</f>
        <v>C02</v>
      </c>
      <c r="D75" s="397" t="s">
        <v>391</v>
      </c>
      <c r="E75" s="515" t="s">
        <v>707</v>
      </c>
      <c r="F75" s="515" t="s">
        <v>707</v>
      </c>
      <c r="G75" s="515">
        <f>'C- City Council eff 1-7-17'!E6</f>
        <v>2539</v>
      </c>
      <c r="H75" s="397" t="s">
        <v>710</v>
      </c>
      <c r="I75" s="439">
        <f>'C- City Council exp 1-6-17'!$F$1</f>
        <v>2017</v>
      </c>
    </row>
    <row r="76" spans="1:9" x14ac:dyDescent="0.2">
      <c r="A76" s="397" t="str">
        <f>'G - General Pay Plan'!C87</f>
        <v>DNG226</v>
      </c>
      <c r="B76" t="str">
        <f>'G - General Pay Plan'!D87</f>
        <v>DEVELOPMENT SVCS EDUCATION/TRAINING COORDINATOR</v>
      </c>
      <c r="C76" s="397" t="str">
        <f>'G - General Pay Plan'!A86</f>
        <v>G23</v>
      </c>
      <c r="D76" s="397" t="s">
        <v>391</v>
      </c>
      <c r="E76" s="515">
        <f>'G - General Pay Plan'!E86</f>
        <v>5158.8286342500005</v>
      </c>
      <c r="F76" s="515">
        <f>(E76+G76)/2</f>
        <v>6138.7468024583331</v>
      </c>
      <c r="G76" s="515">
        <f>'G - General Pay Plan'!G86</f>
        <v>7118.6649706666658</v>
      </c>
      <c r="H76" s="397" t="s">
        <v>710</v>
      </c>
      <c r="I76" s="440">
        <f>'G - General Pay Plan'!$H$1</f>
        <v>2017</v>
      </c>
    </row>
    <row r="77" spans="1:9" x14ac:dyDescent="0.2">
      <c r="A77" s="397" t="str">
        <f>'G - General Pay Plan'!C150</f>
        <v>GNG210</v>
      </c>
      <c r="B77" t="str">
        <f>('G - General Pay Plan'!D150)</f>
        <v>DIGITAL COMMUNICATIONS COORDINATOR</v>
      </c>
      <c r="C77" s="397" t="str">
        <f>'G - General Pay Plan'!A146</f>
        <v>G26</v>
      </c>
      <c r="D77" s="44" t="s">
        <v>391</v>
      </c>
      <c r="E77" s="515">
        <f>'G - General Pay Plan'!E146</f>
        <v>5987.0927253500004</v>
      </c>
      <c r="F77" s="515">
        <f>'G - General Pay Plan'!F146</f>
        <v>7123.8498313000009</v>
      </c>
      <c r="G77" s="515">
        <f>'G - General Pay Plan'!G146</f>
        <v>8260.6069372500006</v>
      </c>
      <c r="H77" s="44" t="s">
        <v>710</v>
      </c>
      <c r="I77" s="440">
        <f>'G - General Pay Plan'!$H$1</f>
        <v>2017</v>
      </c>
    </row>
    <row r="78" spans="1:9" x14ac:dyDescent="0.2">
      <c r="A78" s="1" t="str">
        <f>'E -Executive'!C4</f>
        <v>MNE101</v>
      </c>
      <c r="B78" s="58" t="str">
        <f>'E -Executive'!D4</f>
        <v>DIRECTOR, CIVIC SERVICES</v>
      </c>
      <c r="C78" s="1" t="str">
        <f>'E -Executive'!A4</f>
        <v>(E01)</v>
      </c>
      <c r="D78" s="397" t="s">
        <v>391</v>
      </c>
      <c r="E78" s="515">
        <f>'E -Executive'!E3</f>
        <v>9589.4477654999992</v>
      </c>
      <c r="F78" s="515">
        <f>'E -Executive'!F3</f>
        <v>11383.659277000001</v>
      </c>
      <c r="G78" s="515">
        <f>'E -Executive'!G3</f>
        <v>13177.870873333333</v>
      </c>
      <c r="H78" s="397" t="s">
        <v>710</v>
      </c>
      <c r="I78" s="439">
        <f>'E -Executive'!$H$1</f>
        <v>2017</v>
      </c>
    </row>
    <row r="79" spans="1:9" x14ac:dyDescent="0.2">
      <c r="A79" s="1" t="str">
        <f>'E -Executive'!C11</f>
        <v>DNE102</v>
      </c>
      <c r="B79" t="str">
        <f>'E -Executive'!D11</f>
        <v>DIRECTOR, DEVELOPMENT SERVICES</v>
      </c>
      <c r="C79" s="1" t="str">
        <f>'E -Executive'!A8</f>
        <v>(E02)</v>
      </c>
      <c r="D79" s="1" t="s">
        <v>391</v>
      </c>
      <c r="E79" s="515">
        <f>'E -Executive'!E8</f>
        <v>9589.4477654999992</v>
      </c>
      <c r="F79" s="515">
        <f>'E -Executive'!F3</f>
        <v>11383.659277000001</v>
      </c>
      <c r="G79" s="515">
        <f>'E -Executive'!G8</f>
        <v>15318.183636666668</v>
      </c>
      <c r="H79" s="1" t="s">
        <v>710</v>
      </c>
      <c r="I79" s="439">
        <f>'E -Executive'!$H$1</f>
        <v>2017</v>
      </c>
    </row>
    <row r="80" spans="1:9" x14ac:dyDescent="0.2">
      <c r="A80" s="397" t="str">
        <f>'E -Executive'!C12</f>
        <v>BNE101</v>
      </c>
      <c r="B80" t="str">
        <f>'E -Executive'!D12</f>
        <v>DIRECTOR, FINANCE</v>
      </c>
      <c r="C80" s="397" t="str">
        <f>'E -Executive'!A8</f>
        <v>(E02)</v>
      </c>
      <c r="D80" s="397" t="s">
        <v>391</v>
      </c>
      <c r="E80" s="515">
        <f>'E -Executive'!E8</f>
        <v>9589.4477654999992</v>
      </c>
      <c r="F80" s="515">
        <f t="shared" ref="F80:F86" si="0">(E80+G80)/2</f>
        <v>12453.815701083335</v>
      </c>
      <c r="G80" s="515">
        <f>'E -Executive'!G8</f>
        <v>15318.183636666668</v>
      </c>
      <c r="H80" s="397" t="s">
        <v>710</v>
      </c>
      <c r="I80" s="439">
        <f>'E -Executive'!$H$1</f>
        <v>2017</v>
      </c>
    </row>
    <row r="81" spans="1:9" x14ac:dyDescent="0.2">
      <c r="A81" s="397" t="str">
        <f>'E -Executive'!C13</f>
        <v>HNE101</v>
      </c>
      <c r="B81" t="str">
        <f>'E -Executive'!D13</f>
        <v>DIRECTOR, HUMAN RESOURCES</v>
      </c>
      <c r="C81" s="397" t="str">
        <f>'E -Executive'!A8</f>
        <v>(E02)</v>
      </c>
      <c r="D81" s="397" t="s">
        <v>391</v>
      </c>
      <c r="E81" s="515">
        <f>'E -Executive'!E8</f>
        <v>9589.4477654999992</v>
      </c>
      <c r="F81" s="515">
        <f t="shared" si="0"/>
        <v>12453.815701083335</v>
      </c>
      <c r="G81" s="515">
        <f>'E -Executive'!G8</f>
        <v>15318.183636666668</v>
      </c>
      <c r="H81" s="397" t="s">
        <v>710</v>
      </c>
      <c r="I81" s="439">
        <f>'E -Executive'!$H$1</f>
        <v>2017</v>
      </c>
    </row>
    <row r="82" spans="1:9" x14ac:dyDescent="0.2">
      <c r="A82" s="397" t="str">
        <f>'E -Executive'!C5</f>
        <v>GNE101</v>
      </c>
      <c r="B82" s="58" t="str">
        <f>'E -Executive'!D5</f>
        <v xml:space="preserve">DIRECTOR, INTERGOVERNMENTAL RELATIONS </v>
      </c>
      <c r="C82" s="397" t="str">
        <f>'E -Executive'!A4</f>
        <v>(E01)</v>
      </c>
      <c r="D82" s="397" t="s">
        <v>391</v>
      </c>
      <c r="E82" s="515">
        <f>'E -Executive'!E3</f>
        <v>9589.4477654999992</v>
      </c>
      <c r="F82" s="515">
        <f t="shared" si="0"/>
        <v>11383.659319416667</v>
      </c>
      <c r="G82" s="515">
        <f>'E -Executive'!G3</f>
        <v>13177.870873333333</v>
      </c>
      <c r="H82" s="397" t="s">
        <v>710</v>
      </c>
      <c r="I82" s="439">
        <f>'E -Executive'!$H$1</f>
        <v>2017</v>
      </c>
    </row>
    <row r="83" spans="1:9" s="3" customFormat="1" x14ac:dyDescent="0.2">
      <c r="A83" s="397" t="str">
        <f>'E -Executive'!C14</f>
        <v>RNE101</v>
      </c>
      <c r="B83" t="str">
        <f>'E -Executive'!D14</f>
        <v>DIRECTOR, PARKS &amp; COMMUNITY SERVICES</v>
      </c>
      <c r="C83" s="397" t="str">
        <f>'E -Executive'!A8</f>
        <v>(E02)</v>
      </c>
      <c r="D83" s="397" t="s">
        <v>391</v>
      </c>
      <c r="E83" s="515">
        <f>'E -Executive'!E8</f>
        <v>9589.4477654999992</v>
      </c>
      <c r="F83" s="515">
        <f t="shared" si="0"/>
        <v>12453.815701083335</v>
      </c>
      <c r="G83" s="515">
        <f>'E -Executive'!G8</f>
        <v>15318.183636666668</v>
      </c>
      <c r="H83" s="397" t="s">
        <v>710</v>
      </c>
      <c r="I83" s="439">
        <f>'E -Executive'!$H$1</f>
        <v>2017</v>
      </c>
    </row>
    <row r="84" spans="1:9" x14ac:dyDescent="0.2">
      <c r="A84" s="397" t="str">
        <f>'E -Executive'!C15</f>
        <v>DNE101</v>
      </c>
      <c r="B84" t="str">
        <f>'E -Executive'!D15</f>
        <v>DIRECTOR, PLANNING &amp; COMMUNITY DEVELOPMENT</v>
      </c>
      <c r="C84" s="397" t="str">
        <f>'E -Executive'!A8</f>
        <v>(E02)</v>
      </c>
      <c r="D84" s="397" t="s">
        <v>391</v>
      </c>
      <c r="E84" s="515">
        <f>'E -Executive'!E8</f>
        <v>9589.4477654999992</v>
      </c>
      <c r="F84" s="515">
        <f t="shared" si="0"/>
        <v>12453.815701083335</v>
      </c>
      <c r="G84" s="515">
        <f>'E -Executive'!G8</f>
        <v>15318.183636666668</v>
      </c>
      <c r="H84" s="397" t="s">
        <v>710</v>
      </c>
      <c r="I84" s="439">
        <f>'E -Executive'!$H$1</f>
        <v>2017</v>
      </c>
    </row>
    <row r="85" spans="1:9" x14ac:dyDescent="0.2">
      <c r="A85" s="397" t="str">
        <f>'E -Executive'!C16</f>
        <v>ENE101</v>
      </c>
      <c r="B85" t="str">
        <f>'E -Executive'!D16</f>
        <v>DIRECTOR, TRANSPORTATION</v>
      </c>
      <c r="C85" s="397" t="str">
        <f>'E -Executive'!A8</f>
        <v>(E02)</v>
      </c>
      <c r="D85" s="397" t="s">
        <v>391</v>
      </c>
      <c r="E85" s="515">
        <f>'E -Executive'!E8</f>
        <v>9589.4477654999992</v>
      </c>
      <c r="F85" s="515">
        <f t="shared" si="0"/>
        <v>12453.815701083335</v>
      </c>
      <c r="G85" s="515">
        <f>'E -Executive'!G8</f>
        <v>15318.183636666668</v>
      </c>
      <c r="H85" s="397" t="s">
        <v>710</v>
      </c>
      <c r="I85" s="439">
        <f>'E -Executive'!$H$1</f>
        <v>2017</v>
      </c>
    </row>
    <row r="86" spans="1:9" x14ac:dyDescent="0.2">
      <c r="A86" s="397" t="str">
        <f>'E -Executive'!C17</f>
        <v>ENE102</v>
      </c>
      <c r="B86" t="str">
        <f>'E -Executive'!D17</f>
        <v>DIRECTOR, UTILITIES</v>
      </c>
      <c r="C86" s="397" t="str">
        <f>'E -Executive'!A8</f>
        <v>(E02)</v>
      </c>
      <c r="D86" s="397" t="s">
        <v>391</v>
      </c>
      <c r="E86" s="515">
        <f>'E -Executive'!E8</f>
        <v>9589.4477654999992</v>
      </c>
      <c r="F86" s="515">
        <f t="shared" si="0"/>
        <v>12453.815701083335</v>
      </c>
      <c r="G86" s="515">
        <f>'E -Executive'!G8</f>
        <v>15318.183636666668</v>
      </c>
      <c r="H86" s="397" t="s">
        <v>710</v>
      </c>
      <c r="I86" s="439">
        <f>'E -Executive'!$H$1</f>
        <v>2017</v>
      </c>
    </row>
    <row r="87" spans="1:9" x14ac:dyDescent="0.2">
      <c r="A87" s="397" t="str">
        <f>'G - General Pay Plan'!C189</f>
        <v>GNG211</v>
      </c>
      <c r="B87" t="str">
        <f>'G - General Pay Plan'!D189</f>
        <v>ECONOMIC DEVELOPMENT MANAGER</v>
      </c>
      <c r="C87" s="397" t="str">
        <f>'G - General Pay Plan'!A188</f>
        <v>G28</v>
      </c>
      <c r="D87" s="397" t="s">
        <v>391</v>
      </c>
      <c r="E87" s="515">
        <f>'G - General Pay Plan'!E188</f>
        <v>6611.8555624500004</v>
      </c>
      <c r="F87" s="515">
        <f>'G - General Pay Plan'!F188</f>
        <v>7867.2138591666662</v>
      </c>
      <c r="G87" s="515">
        <f>'G - General Pay Plan'!G188</f>
        <v>9122.5721474000002</v>
      </c>
      <c r="H87" s="397" t="s">
        <v>710</v>
      </c>
      <c r="I87" s="440">
        <f>'G - General Pay Plan'!$H$1</f>
        <v>2017</v>
      </c>
    </row>
    <row r="88" spans="1:9" x14ac:dyDescent="0.2">
      <c r="A88" s="397" t="str">
        <f>'G - General Pay Plan'!C88</f>
        <v>SNG201</v>
      </c>
      <c r="B88" t="str">
        <f>('G - General Pay Plan'!D88)</f>
        <v>ELECTRONIC HOME DETENTION COORDINATOR</v>
      </c>
      <c r="C88" s="397" t="str">
        <f>'G - General Pay Plan'!A86</f>
        <v>G23</v>
      </c>
      <c r="D88" s="397" t="s">
        <v>391</v>
      </c>
      <c r="E88" s="515">
        <f>'G - General Pay Plan'!E86</f>
        <v>5158.8286342500005</v>
      </c>
      <c r="F88" s="515">
        <f>'G - General Pay Plan'!F86</f>
        <v>6138.7468067</v>
      </c>
      <c r="G88" s="515">
        <f>'G - General Pay Plan'!G86</f>
        <v>7118.6649706666658</v>
      </c>
      <c r="H88" s="397" t="s">
        <v>710</v>
      </c>
      <c r="I88" s="440">
        <f>'G - General Pay Plan'!$H$1</f>
        <v>2017</v>
      </c>
    </row>
    <row r="89" spans="1:9" x14ac:dyDescent="0.2">
      <c r="A89" s="73" t="str">
        <f>'I -Signals &amp; Electronics (rep)'!B15</f>
        <v>MRI301</v>
      </c>
      <c r="B89" t="str">
        <f>'I -Signals &amp; Electronics (rep)'!C15</f>
        <v>ELECTRONICS TECHNICIAN</v>
      </c>
      <c r="C89" s="73" t="str">
        <f>'I -Signals &amp; Electronics (rep)'!A15</f>
        <v>I04</v>
      </c>
      <c r="D89" s="73">
        <v>6</v>
      </c>
      <c r="E89" s="74">
        <f>'I -Signals &amp; Electronics (rep)'!D15</f>
        <v>5692.1551439999994</v>
      </c>
      <c r="F89" s="74">
        <f>(E89+G89)/2</f>
        <v>6478.3076799999999</v>
      </c>
      <c r="G89" s="74">
        <f>'I -Signals &amp; Electronics (rep)'!I15</f>
        <v>7264.4602159999995</v>
      </c>
      <c r="H89" s="73" t="s">
        <v>711</v>
      </c>
      <c r="I89" s="439">
        <f>'I -Signals &amp; Electronics (rep)'!J1</f>
        <v>2017</v>
      </c>
    </row>
    <row r="90" spans="1:9" x14ac:dyDescent="0.2">
      <c r="A90" s="397" t="str">
        <f>'G - General Pay Plan'!C89</f>
        <v>GNG202</v>
      </c>
      <c r="B90" t="str">
        <f>('G - General Pay Plan'!D89)</f>
        <v>EMERGENCY PREPAREDNESS COORDINATOR</v>
      </c>
      <c r="C90" s="397" t="str">
        <f>'G - General Pay Plan'!A86</f>
        <v>G23</v>
      </c>
      <c r="D90" s="397" t="s">
        <v>391</v>
      </c>
      <c r="E90" s="515">
        <f>'G - General Pay Plan'!E86</f>
        <v>5158.8286342500005</v>
      </c>
      <c r="F90" s="515">
        <f>'G - General Pay Plan'!F86</f>
        <v>6138.7468067</v>
      </c>
      <c r="G90" s="515">
        <f>'G - General Pay Plan'!G86</f>
        <v>7118.6649706666658</v>
      </c>
      <c r="H90" s="397" t="s">
        <v>710</v>
      </c>
      <c r="I90" s="440">
        <f>'G - General Pay Plan'!$H$1</f>
        <v>2017</v>
      </c>
    </row>
    <row r="91" spans="1:9" x14ac:dyDescent="0.2">
      <c r="A91" s="397" t="str">
        <f>'G - General Pay Plan'!C216</f>
        <v>GNG203</v>
      </c>
      <c r="B91" t="str">
        <f>'G - General Pay Plan'!D216</f>
        <v>EMERGENCY PREPAREDNESS MANAGER</v>
      </c>
      <c r="C91" s="397" t="str">
        <f>'G - General Pay Plan'!A212</f>
        <v>G30</v>
      </c>
      <c r="D91" s="72" t="s">
        <v>391</v>
      </c>
      <c r="E91" s="515">
        <f>'G - General Pay Plan'!E212</f>
        <v>7301.4277322666667</v>
      </c>
      <c r="F91" s="515">
        <f>'G - General Pay Plan'!F212</f>
        <v>8687.7011343833346</v>
      </c>
      <c r="G91" s="515">
        <f>'G - General Pay Plan'!G212</f>
        <v>10073.974528016666</v>
      </c>
      <c r="H91" s="72" t="s">
        <v>710</v>
      </c>
      <c r="I91" s="440">
        <f>'G - General Pay Plan'!$H$1</f>
        <v>2017</v>
      </c>
    </row>
    <row r="92" spans="1:9" x14ac:dyDescent="0.2">
      <c r="A92" s="397" t="str">
        <f>'G - General Pay Plan'!C71</f>
        <v>GNG501</v>
      </c>
      <c r="B92" t="str">
        <f>'G - General Pay Plan'!D71</f>
        <v>EMERGENCY PREPAREDNESS PLANS COORDINATOR</v>
      </c>
      <c r="C92" s="397" t="str">
        <f>'G - General Pay Plan'!A64</f>
        <v>G21</v>
      </c>
      <c r="D92" s="397" t="s">
        <v>391</v>
      </c>
      <c r="E92" s="515">
        <f>'G - General Pay Plan'!E64</f>
        <v>4671.462211633333</v>
      </c>
      <c r="F92" s="515">
        <f>'G - General Pay Plan'!F64</f>
        <v>5558.7030214166662</v>
      </c>
      <c r="G92" s="515">
        <f>'G - General Pay Plan'!G64</f>
        <v>6445.9438312000011</v>
      </c>
      <c r="H92" s="397" t="s">
        <v>711</v>
      </c>
      <c r="I92" s="440">
        <f>'G - General Pay Plan'!$H$1</f>
        <v>2017</v>
      </c>
    </row>
    <row r="93" spans="1:9" x14ac:dyDescent="0.2">
      <c r="A93" s="397" t="str">
        <f>'G - General Pay Plan'!C152</f>
        <v>ENG201</v>
      </c>
      <c r="B93" t="str">
        <f>('G - General Pay Plan'!D152)</f>
        <v>ENGINEER, TRANSPORTATION</v>
      </c>
      <c r="C93" s="397" t="str">
        <f>'G - General Pay Plan'!A146</f>
        <v>G26</v>
      </c>
      <c r="D93" s="397" t="s">
        <v>391</v>
      </c>
      <c r="E93" s="515">
        <f>'G - General Pay Plan'!E146</f>
        <v>5987.0927253500004</v>
      </c>
      <c r="F93" s="515">
        <f>'G - General Pay Plan'!F146</f>
        <v>7123.8498313000009</v>
      </c>
      <c r="G93" s="515">
        <f>'G - General Pay Plan'!G146</f>
        <v>8260.6069372500006</v>
      </c>
      <c r="H93" s="397" t="s">
        <v>710</v>
      </c>
      <c r="I93" s="440">
        <f>'G - General Pay Plan'!$H$1</f>
        <v>2017</v>
      </c>
    </row>
    <row r="94" spans="1:9" x14ac:dyDescent="0.2">
      <c r="A94" s="397" t="str">
        <f>'G - General Pay Plan'!C153</f>
        <v>ENG203</v>
      </c>
      <c r="B94" t="str">
        <f>('G - General Pay Plan'!D153)</f>
        <v>ENGINEER, UTILITIES</v>
      </c>
      <c r="C94" s="397" t="str">
        <f>'G - General Pay Plan'!A146</f>
        <v>G26</v>
      </c>
      <c r="D94" s="397" t="s">
        <v>391</v>
      </c>
      <c r="E94" s="515">
        <f>'G - General Pay Plan'!E146</f>
        <v>5987.0927253500004</v>
      </c>
      <c r="F94" s="515">
        <f>'G - General Pay Plan'!F146</f>
        <v>7123.8498313000009</v>
      </c>
      <c r="G94" s="515">
        <f>'G - General Pay Plan'!G146</f>
        <v>8260.6069372500006</v>
      </c>
      <c r="H94" s="397" t="s">
        <v>710</v>
      </c>
      <c r="I94" s="440">
        <f>'G - General Pay Plan'!$H$1</f>
        <v>2017</v>
      </c>
    </row>
    <row r="95" spans="1:9" x14ac:dyDescent="0.2">
      <c r="A95" s="397" t="str">
        <f>'G - General Pay Plan'!C28</f>
        <v>ENG301</v>
      </c>
      <c r="B95" t="str">
        <f>('G - General Pay Plan'!D28)</f>
        <v>ENGINEERING AIDE</v>
      </c>
      <c r="C95" s="397" t="str">
        <f>'G - General Pay Plan'!A27</f>
        <v>G14</v>
      </c>
      <c r="D95" s="397" t="s">
        <v>391</v>
      </c>
      <c r="E95" s="515">
        <f>'G - General Pay Plan'!E27</f>
        <v>3301.3911448166668</v>
      </c>
      <c r="F95" s="515">
        <f>(E95+G95)/2</f>
        <v>3928.0981880083336</v>
      </c>
      <c r="G95" s="515">
        <f>'G - General Pay Plan'!G27</f>
        <v>4554.8052312000009</v>
      </c>
      <c r="H95" s="397" t="s">
        <v>711</v>
      </c>
      <c r="I95" s="440">
        <f>'G - General Pay Plan'!$H$1</f>
        <v>2017</v>
      </c>
    </row>
    <row r="96" spans="1:9" x14ac:dyDescent="0.2">
      <c r="A96" s="397" t="str">
        <f>'G - General Pay Plan'!C252</f>
        <v>ENG205</v>
      </c>
      <c r="B96" t="str">
        <f>('G - General Pay Plan'!D252)</f>
        <v>ENGINEERING MANAGER, TRANSPORTATION</v>
      </c>
      <c r="C96" s="397" t="str">
        <f>'G - General Pay Plan'!A252</f>
        <v>G32</v>
      </c>
      <c r="D96" s="397" t="s">
        <v>391</v>
      </c>
      <c r="E96" s="515">
        <f>'G - General Pay Plan'!E252</f>
        <v>8062.2905354000004</v>
      </c>
      <c r="F96" s="515">
        <f>'G - General Pay Plan'!F252</f>
        <v>9593.7367013000003</v>
      </c>
      <c r="G96" s="515">
        <f>'G - General Pay Plan'!G252</f>
        <v>11125.182867199999</v>
      </c>
      <c r="H96" s="397" t="s">
        <v>710</v>
      </c>
      <c r="I96" s="440">
        <f>'G - General Pay Plan'!$H$1</f>
        <v>2017</v>
      </c>
    </row>
    <row r="97" spans="1:9" x14ac:dyDescent="0.2">
      <c r="A97" s="397" t="str">
        <f>'G - General Pay Plan'!C253</f>
        <v>ENG206</v>
      </c>
      <c r="B97" t="str">
        <f>('G - General Pay Plan'!D253)</f>
        <v>ENGINEERING MANAGER, UTILITIES</v>
      </c>
      <c r="C97" s="397" t="str">
        <f>'G - General Pay Plan'!A252</f>
        <v>G32</v>
      </c>
      <c r="D97" s="397" t="s">
        <v>391</v>
      </c>
      <c r="E97" s="515">
        <f>'G - General Pay Plan'!E252</f>
        <v>8062.2905354000004</v>
      </c>
      <c r="F97" s="515">
        <f>'G - General Pay Plan'!F252</f>
        <v>9593.7367013000003</v>
      </c>
      <c r="G97" s="515">
        <f>'G - General Pay Plan'!G252</f>
        <v>11125.182867199999</v>
      </c>
      <c r="H97" s="397" t="s">
        <v>710</v>
      </c>
      <c r="I97" s="440">
        <f>'G - General Pay Plan'!$H$1</f>
        <v>2017</v>
      </c>
    </row>
    <row r="98" spans="1:9" x14ac:dyDescent="0.2">
      <c r="A98" s="397" t="str">
        <f>'G - General Pay Plan'!C217</f>
        <v>ENG218</v>
      </c>
      <c r="B98" t="str">
        <f>'G - General Pay Plan'!D217</f>
        <v>ENGINEERING SUPERVISOR, TRANSPORTATION</v>
      </c>
      <c r="C98" s="397" t="str">
        <f>'G - General Pay Plan'!A212</f>
        <v>G30</v>
      </c>
      <c r="D98" s="44" t="s">
        <v>391</v>
      </c>
      <c r="E98" s="515">
        <f>'G - General Pay Plan'!E212</f>
        <v>7301.4277322666667</v>
      </c>
      <c r="F98" s="515">
        <f>'G - General Pay Plan'!F212</f>
        <v>8687.7011343833346</v>
      </c>
      <c r="G98" s="515">
        <f>'G - General Pay Plan'!G212</f>
        <v>10073.974528016666</v>
      </c>
      <c r="H98" s="44" t="s">
        <v>710</v>
      </c>
      <c r="I98" s="440">
        <f>'G - General Pay Plan'!$H$1</f>
        <v>2017</v>
      </c>
    </row>
    <row r="99" spans="1:9" x14ac:dyDescent="0.2">
      <c r="A99" s="397" t="str">
        <f>'G - General Pay Plan'!C218</f>
        <v>ENG207</v>
      </c>
      <c r="B99" t="str">
        <f>('G - General Pay Plan'!D218)</f>
        <v>ENGINEERING SUPERVISOR, UTILITIES</v>
      </c>
      <c r="C99" s="397" t="str">
        <f>'G - General Pay Plan'!A212</f>
        <v>G30</v>
      </c>
      <c r="D99" s="397" t="s">
        <v>391</v>
      </c>
      <c r="E99" s="515">
        <f>'G - General Pay Plan'!E212</f>
        <v>7301.4277322666667</v>
      </c>
      <c r="F99" s="515">
        <f>'G - General Pay Plan'!F212</f>
        <v>8687.7011343833346</v>
      </c>
      <c r="G99" s="515">
        <f>'G - General Pay Plan'!G212</f>
        <v>10073.974528016666</v>
      </c>
      <c r="H99" s="397" t="s">
        <v>710</v>
      </c>
      <c r="I99" s="440">
        <f>'G - General Pay Plan'!$H$1</f>
        <v>2017</v>
      </c>
    </row>
    <row r="100" spans="1:9" x14ac:dyDescent="0.2">
      <c r="A100" s="241" t="str">
        <f>'G - General Pay Plan'!C68</f>
        <v>ENG302</v>
      </c>
      <c r="B100" t="str">
        <f>('G - General Pay Plan'!D68)</f>
        <v>ENGINEERING TECHNICIAN</v>
      </c>
      <c r="C100" s="241" t="str">
        <f>'G - General Pay Plan'!A64</f>
        <v>G21</v>
      </c>
      <c r="D100" s="397" t="s">
        <v>391</v>
      </c>
      <c r="E100" s="515">
        <f>'G - General Pay Plan'!E64</f>
        <v>4671.462211633333</v>
      </c>
      <c r="F100" s="515">
        <f>'G - General Pay Plan'!F64</f>
        <v>5558.7030214166662</v>
      </c>
      <c r="G100" s="515">
        <f>'G - General Pay Plan'!G64</f>
        <v>6445.9438312000011</v>
      </c>
      <c r="H100" s="397" t="s">
        <v>711</v>
      </c>
      <c r="I100" s="440">
        <f>'G - General Pay Plan'!$H$1</f>
        <v>2017</v>
      </c>
    </row>
    <row r="101" spans="1:9" x14ac:dyDescent="0.2">
      <c r="A101" s="241" t="str">
        <f>'G - General Pay Plan'!C151</f>
        <v>ANG217</v>
      </c>
      <c r="B101" t="str">
        <f>'G - General Pay Plan'!D151</f>
        <v>ENTERPRISE CONTENT BUSINESS ADMINISTRATOR</v>
      </c>
      <c r="C101" s="241" t="str">
        <f>'G - General Pay Plan'!A146</f>
        <v>G26</v>
      </c>
      <c r="D101" s="72" t="s">
        <v>391</v>
      </c>
      <c r="E101" s="515">
        <f>'G - General Pay Plan'!E146</f>
        <v>5987.0927253500004</v>
      </c>
      <c r="F101" s="515">
        <f>'G - General Pay Plan'!F146</f>
        <v>7123.8498313000009</v>
      </c>
      <c r="G101" s="515">
        <f>'G - General Pay Plan'!G146</f>
        <v>8260.6069372500006</v>
      </c>
      <c r="H101" s="72" t="s">
        <v>710</v>
      </c>
      <c r="I101" s="440">
        <f>'G - General Pay Plan'!$H$1</f>
        <v>2017</v>
      </c>
    </row>
    <row r="102" spans="1:9" x14ac:dyDescent="0.2">
      <c r="A102" s="241" t="str">
        <f>'G - General Pay Plan'!C190</f>
        <v>ANG218</v>
      </c>
      <c r="B102" t="str">
        <f>'G - General Pay Plan'!D190</f>
        <v>ENTERPRISE CONTENT BUSINESS MANAGER</v>
      </c>
      <c r="C102" s="241" t="str">
        <f>'G - General Pay Plan'!A188</f>
        <v>G28</v>
      </c>
      <c r="D102" s="72" t="s">
        <v>391</v>
      </c>
      <c r="E102" s="515">
        <f>'G - General Pay Plan'!E188</f>
        <v>6611.8555624500004</v>
      </c>
      <c r="F102" s="515">
        <f>'G - General Pay Plan'!F188</f>
        <v>7867.2138591666662</v>
      </c>
      <c r="G102" s="515">
        <f>'G - General Pay Plan'!G188</f>
        <v>9122.5721474000002</v>
      </c>
      <c r="H102" s="72" t="s">
        <v>710</v>
      </c>
      <c r="I102" s="440">
        <f>'G - General Pay Plan'!$H$1</f>
        <v>2017</v>
      </c>
    </row>
    <row r="103" spans="1:9" x14ac:dyDescent="0.2">
      <c r="A103" s="391" t="str">
        <f>'G - General Pay Plan'!C170</f>
        <v>ENG303</v>
      </c>
      <c r="B103" t="str">
        <f>('G - General Pay Plan'!D170)</f>
        <v>ENVIRONMENTAL SCIENTIST</v>
      </c>
      <c r="C103" s="391" t="str">
        <f>'G - General Pay Plan'!A167</f>
        <v>G27</v>
      </c>
      <c r="D103" s="397" t="s">
        <v>391</v>
      </c>
      <c r="E103" s="515">
        <f>'G - General Pay Plan'!E167</f>
        <v>6291.6973280166667</v>
      </c>
      <c r="F103" s="515">
        <f>'G - General Pay Plan'!F167</f>
        <v>7486.7829241833342</v>
      </c>
      <c r="G103" s="515">
        <f>'G - General Pay Plan'!G167</f>
        <v>8681.8685118666672</v>
      </c>
      <c r="H103" s="397" t="s">
        <v>710</v>
      </c>
      <c r="I103" s="440">
        <f>'G - General Pay Plan'!$H$1</f>
        <v>2017</v>
      </c>
    </row>
    <row r="104" spans="1:9" x14ac:dyDescent="0.2">
      <c r="A104" s="397" t="str">
        <f>'G - General Pay Plan'!C243</f>
        <v>ING214</v>
      </c>
      <c r="B104" s="3" t="str">
        <f>('G - General Pay Plan'!D243)</f>
        <v>ERP PROJECT SUPERVISOR</v>
      </c>
      <c r="C104" s="397" t="str">
        <f>'G - General Pay Plan'!A238</f>
        <v>G31</v>
      </c>
      <c r="D104" s="397" t="s">
        <v>391</v>
      </c>
      <c r="E104" s="515">
        <f>'G - General Pay Plan'!E238</f>
        <v>7672.1381076166663</v>
      </c>
      <c r="F104" s="515">
        <f>'G - General Pay Plan'!F238</f>
        <v>9129.701676466666</v>
      </c>
      <c r="G104" s="515">
        <f>'G - General Pay Plan'!G238</f>
        <v>10587.265245316668</v>
      </c>
      <c r="H104" s="397" t="s">
        <v>710</v>
      </c>
      <c r="I104" s="440">
        <f>'G - General Pay Plan'!$H$1</f>
        <v>2017</v>
      </c>
    </row>
    <row r="105" spans="1:9" x14ac:dyDescent="0.2">
      <c r="A105" s="241" t="str">
        <f>'M-Mid Mgmt'!C13</f>
        <v>INM202</v>
      </c>
      <c r="B105" s="58" t="str">
        <f>'M-Mid Mgmt'!D13</f>
        <v>EXEC DIR eCITY GOV ALLIANCE</v>
      </c>
      <c r="C105" s="241" t="str">
        <f>'M-Mid Mgmt'!A3</f>
        <v>M01</v>
      </c>
      <c r="D105" s="241" t="s">
        <v>391</v>
      </c>
      <c r="E105" s="515">
        <f>'M-Mid Mgmt'!E3</f>
        <v>8470.5895003333335</v>
      </c>
      <c r="F105" s="515">
        <f>'M-Mid Mgmt'!F3</f>
        <v>10081.751352383333</v>
      </c>
      <c r="G105" s="515">
        <f>'M-Mid Mgmt'!G3</f>
        <v>11692.913195950001</v>
      </c>
      <c r="H105" s="241" t="s">
        <v>710</v>
      </c>
      <c r="I105" s="439">
        <f>'M-Mid Mgmt'!$H$1</f>
        <v>2017</v>
      </c>
    </row>
    <row r="106" spans="1:9" x14ac:dyDescent="0.2">
      <c r="A106" s="241" t="str">
        <f>'G - General Pay Plan'!C69</f>
        <v>ANG503</v>
      </c>
      <c r="B106" t="str">
        <f>('G - General Pay Plan'!D69)</f>
        <v>EXECUTIVE ASSISTANT TO CITY COUNCIL</v>
      </c>
      <c r="C106" s="241" t="str">
        <f>'G - General Pay Plan'!A64</f>
        <v>G21</v>
      </c>
      <c r="D106" s="241" t="s">
        <v>391</v>
      </c>
      <c r="E106" s="515">
        <f>'G - General Pay Plan'!E64</f>
        <v>4671.462211633333</v>
      </c>
      <c r="F106" s="515">
        <f>'G - General Pay Plan'!F64</f>
        <v>5558.7030214166662</v>
      </c>
      <c r="G106" s="515">
        <f>'G - General Pay Plan'!G64</f>
        <v>6445.9438312000011</v>
      </c>
      <c r="H106" s="241" t="s">
        <v>710</v>
      </c>
      <c r="I106" s="440">
        <f>'G - General Pay Plan'!$H$1</f>
        <v>2017</v>
      </c>
    </row>
    <row r="107" spans="1:9" x14ac:dyDescent="0.2">
      <c r="A107" s="241" t="str">
        <f>'G - General Pay Plan'!C70</f>
        <v>ANG502</v>
      </c>
      <c r="B107" t="str">
        <f>('G - General Pay Plan'!D70)</f>
        <v>EXECUTIVE ASSISTANT TO CITY MANAGER</v>
      </c>
      <c r="C107" s="241" t="str">
        <f>'G - General Pay Plan'!A64</f>
        <v>G21</v>
      </c>
      <c r="D107" s="241" t="s">
        <v>391</v>
      </c>
      <c r="E107" s="515">
        <f>'G - General Pay Plan'!E64</f>
        <v>4671.462211633333</v>
      </c>
      <c r="F107" s="515">
        <f>'G - General Pay Plan'!F64</f>
        <v>5558.7030214166662</v>
      </c>
      <c r="G107" s="515">
        <f>'G - General Pay Plan'!G64</f>
        <v>6445.9438312000011</v>
      </c>
      <c r="H107" s="241" t="s">
        <v>710</v>
      </c>
      <c r="I107" s="440">
        <f>'G - General Pay Plan'!$H$1</f>
        <v>2017</v>
      </c>
    </row>
    <row r="108" spans="1:9" s="3" customFormat="1" x14ac:dyDescent="0.2">
      <c r="A108" s="241" t="str">
        <f>'G - General Pay Plan'!C219</f>
        <v>MNG201</v>
      </c>
      <c r="B108" t="str">
        <f>('G - General Pay Plan'!D219)</f>
        <v>FACILITIES MANAGER</v>
      </c>
      <c r="C108" s="241" t="str">
        <f>'G - General Pay Plan'!A212</f>
        <v>G30</v>
      </c>
      <c r="D108" s="397" t="s">
        <v>391</v>
      </c>
      <c r="E108" s="515">
        <f>'G - General Pay Plan'!E212</f>
        <v>7301.4277322666667</v>
      </c>
      <c r="F108" s="515">
        <f>'G - General Pay Plan'!F212</f>
        <v>8687.7011343833346</v>
      </c>
      <c r="G108" s="515">
        <f>'G - General Pay Plan'!G212</f>
        <v>10073.974528016666</v>
      </c>
      <c r="H108" s="397" t="s">
        <v>710</v>
      </c>
      <c r="I108" s="440">
        <f>'G - General Pay Plan'!$H$1</f>
        <v>2017</v>
      </c>
    </row>
    <row r="109" spans="1:9" s="3" customFormat="1" x14ac:dyDescent="0.2">
      <c r="A109" s="397" t="str">
        <f>'G - General Pay Plan'!C115</f>
        <v>MNG701</v>
      </c>
      <c r="B109" t="str">
        <f>('G - General Pay Plan'!D115)</f>
        <v>FACILITIES OPERATIONS SPECIALIST</v>
      </c>
      <c r="C109" s="397" t="str">
        <f>'G - General Pay Plan'!A106</f>
        <v>G24</v>
      </c>
      <c r="D109" s="397" t="s">
        <v>391</v>
      </c>
      <c r="E109" s="515">
        <f>'G - General Pay Plan'!E106</f>
        <v>5421.9553019833338</v>
      </c>
      <c r="F109" s="515">
        <f>'G - General Pay Plan'!F106</f>
        <v>6451.7769118166661</v>
      </c>
      <c r="G109" s="515">
        <f>'G - General Pay Plan'!G106</f>
        <v>7481.5985301333321</v>
      </c>
      <c r="H109" s="397" t="s">
        <v>711</v>
      </c>
      <c r="I109" s="440">
        <f>'G - General Pay Plan'!$H$1</f>
        <v>2017</v>
      </c>
    </row>
    <row r="110" spans="1:9" s="3" customFormat="1" x14ac:dyDescent="0.2">
      <c r="A110" s="397" t="str">
        <f>'G - General Pay Plan'!C135</f>
        <v>MNG210</v>
      </c>
      <c r="B110" t="str">
        <f>('G - General Pay Plan'!D135)</f>
        <v>FACILITIES OPERATIONS SUPERINTENDENT</v>
      </c>
      <c r="C110" s="397" t="str">
        <f>'G - General Pay Plan'!A135</f>
        <v>G25</v>
      </c>
      <c r="D110" s="397" t="s">
        <v>391</v>
      </c>
      <c r="E110" s="515">
        <f>'G - General Pay Plan'!E135</f>
        <v>5699.3391530333329</v>
      </c>
      <c r="F110" s="515">
        <f>'G - General Pay Plan'!F135</f>
        <v>6780.3601990833331</v>
      </c>
      <c r="G110" s="515">
        <f>'G - General Pay Plan'!G135</f>
        <v>7861.3812366499997</v>
      </c>
      <c r="H110" s="397" t="s">
        <v>710</v>
      </c>
      <c r="I110" s="440">
        <f>'G - General Pay Plan'!$H$1</f>
        <v>2017</v>
      </c>
    </row>
    <row r="111" spans="1:9" s="3" customFormat="1" x14ac:dyDescent="0.2">
      <c r="A111" s="397" t="str">
        <f>'G - General Pay Plan'!C136</f>
        <v>DNG204</v>
      </c>
      <c r="B111" t="str">
        <f>('G - General Pay Plan'!D136)</f>
        <v>FACILITIES PLANNING COORDINATOR</v>
      </c>
      <c r="C111" s="397" t="str">
        <f>'G - General Pay Plan'!A135</f>
        <v>G25</v>
      </c>
      <c r="D111" s="397" t="s">
        <v>391</v>
      </c>
      <c r="E111" s="515">
        <f>'G - General Pay Plan'!E135</f>
        <v>5699.3391530333329</v>
      </c>
      <c r="F111" s="515">
        <f>'G - General Pay Plan'!F135</f>
        <v>6780.3601990833331</v>
      </c>
      <c r="G111" s="515">
        <f>'G - General Pay Plan'!G135</f>
        <v>7861.3812366499997</v>
      </c>
      <c r="H111" s="397" t="s">
        <v>710</v>
      </c>
      <c r="I111" s="440">
        <f>'G - General Pay Plan'!$H$1</f>
        <v>2017</v>
      </c>
    </row>
    <row r="112" spans="1:9" s="3" customFormat="1" x14ac:dyDescent="0.2">
      <c r="A112" s="397" t="str">
        <f>'G - General Pay Plan'!C220</f>
        <v>DNG206</v>
      </c>
      <c r="B112" t="str">
        <f>('G - General Pay Plan'!D220)</f>
        <v>FACILITIES PLANNING MANAGER</v>
      </c>
      <c r="C112" s="397" t="str">
        <f>'G - General Pay Plan'!A212</f>
        <v>G30</v>
      </c>
      <c r="D112" s="397" t="s">
        <v>391</v>
      </c>
      <c r="E112" s="515">
        <f>'G - General Pay Plan'!E212</f>
        <v>7301.4277322666667</v>
      </c>
      <c r="F112" s="515">
        <f>'G - General Pay Plan'!F212</f>
        <v>8687.7011343833346</v>
      </c>
      <c r="G112" s="515">
        <f>'G - General Pay Plan'!G212</f>
        <v>10073.974528016666</v>
      </c>
      <c r="H112" s="397" t="s">
        <v>710</v>
      </c>
      <c r="I112" s="440">
        <f>'G - General Pay Plan'!$H$1</f>
        <v>2017</v>
      </c>
    </row>
    <row r="113" spans="1:9" s="3" customFormat="1" x14ac:dyDescent="0.2">
      <c r="A113" s="397" t="str">
        <f>'G - General Pay Plan'!C154</f>
        <v>BNG206</v>
      </c>
      <c r="B113" t="str">
        <f>('G - General Pay Plan'!D154)</f>
        <v>FINANCE DIVISION ASSISTANT MANAGER</v>
      </c>
      <c r="C113" s="397" t="str">
        <f>'G - General Pay Plan'!A146</f>
        <v>G26</v>
      </c>
      <c r="D113" s="397" t="s">
        <v>391</v>
      </c>
      <c r="E113" s="515">
        <f>'G - General Pay Plan'!E146</f>
        <v>5987.0927253500004</v>
      </c>
      <c r="F113" s="515">
        <f>'G - General Pay Plan'!F146</f>
        <v>7123.8498313000009</v>
      </c>
      <c r="G113" s="515">
        <f>'G - General Pay Plan'!G146</f>
        <v>8260.6069372500006</v>
      </c>
      <c r="H113" s="397" t="s">
        <v>710</v>
      </c>
      <c r="I113" s="440">
        <f>'G - General Pay Plan'!$H$1</f>
        <v>2017</v>
      </c>
    </row>
    <row r="114" spans="1:9" s="3" customFormat="1" x14ac:dyDescent="0.2">
      <c r="A114" s="397" t="str">
        <f>'G - General Pay Plan'!C221</f>
        <v>BNG207</v>
      </c>
      <c r="B114" t="str">
        <f>('G - General Pay Plan'!D221)</f>
        <v>FINANCE DIVISION MANAGER</v>
      </c>
      <c r="C114" s="397" t="str">
        <f>'G - General Pay Plan'!A212</f>
        <v>G30</v>
      </c>
      <c r="D114" s="397" t="s">
        <v>391</v>
      </c>
      <c r="E114" s="515">
        <f>'G - General Pay Plan'!E212</f>
        <v>7301.4277322666667</v>
      </c>
      <c r="F114" s="515">
        <f>'G - General Pay Plan'!F212</f>
        <v>8687.7011343833346</v>
      </c>
      <c r="G114" s="515">
        <f>'G - General Pay Plan'!G212</f>
        <v>10073.974528016666</v>
      </c>
      <c r="H114" s="397" t="s">
        <v>710</v>
      </c>
      <c r="I114" s="440">
        <f>'G - General Pay Plan'!$H$1</f>
        <v>2017</v>
      </c>
    </row>
    <row r="115" spans="1:9" s="3" customFormat="1" x14ac:dyDescent="0.2">
      <c r="A115" s="397" t="str">
        <f>'G - General Pay Plan'!C77</f>
        <v>BNG212</v>
      </c>
      <c r="B115" t="str">
        <f>('G - General Pay Plan'!D77)</f>
        <v>FINANCIAL ANALYST</v>
      </c>
      <c r="C115" s="397" t="str">
        <f>'G - General Pay Plan'!A75</f>
        <v>G22</v>
      </c>
      <c r="D115" s="397" t="s">
        <v>391</v>
      </c>
      <c r="E115" s="515">
        <f>'G - General Pay Plan'!E75</f>
        <v>4909.9610331333333</v>
      </c>
      <c r="F115" s="515">
        <f>'G - General Pay Plan'!F75</f>
        <v>5843.2164100166674</v>
      </c>
      <c r="G115" s="515">
        <f>'G - General Pay Plan'!G75</f>
        <v>6776.4717869000006</v>
      </c>
      <c r="H115" s="397" t="s">
        <v>710</v>
      </c>
      <c r="I115" s="440">
        <f>'G - General Pay Plan'!$H$1</f>
        <v>2017</v>
      </c>
    </row>
    <row r="116" spans="1:9" s="3" customFormat="1" x14ac:dyDescent="0.2">
      <c r="A116" s="242" t="str">
        <f>'U-Batt Chief (rep)'!C3</f>
        <v>FNU201</v>
      </c>
      <c r="B116" s="4" t="str">
        <f>'U-Batt Chief (rep)'!D3</f>
        <v>FIRE BATTALION CHIEF - ADMINISTRATIVE</v>
      </c>
      <c r="C116" s="242" t="str">
        <f>'U-Batt Chief (rep)'!A3</f>
        <v>U01</v>
      </c>
      <c r="D116" s="242" t="s">
        <v>391</v>
      </c>
      <c r="E116" s="521">
        <f>'U-Batt Chief (rep)'!E3</f>
        <v>0</v>
      </c>
      <c r="F116" s="521">
        <f>'U-Batt Chief (rep)'!F3</f>
        <v>0</v>
      </c>
      <c r="G116" s="521">
        <f>'U-Batt Chief (rep)'!G3</f>
        <v>11409.232849840288</v>
      </c>
      <c r="H116" s="242" t="s">
        <v>710</v>
      </c>
      <c r="I116" s="438">
        <f>'U-Batt Chief (rep)'!$H$1</f>
        <v>2016</v>
      </c>
    </row>
    <row r="117" spans="1:9" s="3" customFormat="1" x14ac:dyDescent="0.2">
      <c r="A117" s="242" t="str">
        <f>'L-Batt Chiefs (rep)'!C3</f>
        <v>FNL201</v>
      </c>
      <c r="B117" t="str">
        <f>('L-Batt Chiefs (rep)'!D3)</f>
        <v>FIRE BATTALION CHIEF - PLATOON</v>
      </c>
      <c r="C117" s="242" t="str">
        <f>'L-Batt Chiefs (rep)'!A3</f>
        <v>L01</v>
      </c>
      <c r="D117" s="242" t="s">
        <v>391</v>
      </c>
      <c r="E117" s="521">
        <f>'L-Batt Chiefs (rep)'!E3</f>
        <v>0</v>
      </c>
      <c r="F117" s="521">
        <f>'L-Batt Chiefs (rep)'!F3</f>
        <v>0</v>
      </c>
      <c r="G117" s="521">
        <f>'L-Batt Chiefs (rep)'!G3</f>
        <v>10712.894694685716</v>
      </c>
      <c r="H117" s="242" t="s">
        <v>710</v>
      </c>
      <c r="I117" s="438">
        <f>'L-Batt Chiefs (rep)'!$H$1</f>
        <v>2016</v>
      </c>
    </row>
    <row r="118" spans="1:9" s="3" customFormat="1" x14ac:dyDescent="0.2">
      <c r="A118" s="242" t="str">
        <f>'F- Firefighters (rep)'!B34</f>
        <v>FRF201</v>
      </c>
      <c r="B118" t="str">
        <f>('F- Firefighters (rep)'!C34)</f>
        <v>FIRE CAPTAIN</v>
      </c>
      <c r="C118" s="242" t="str">
        <f>'F- Firefighters (rep)'!A34</f>
        <v>F06</v>
      </c>
      <c r="D118" s="242">
        <v>2</v>
      </c>
      <c r="E118" s="517">
        <f>'F- Firefighters (rep)'!G34</f>
        <v>8656.3861854113602</v>
      </c>
      <c r="F118" s="517" t="s">
        <v>707</v>
      </c>
      <c r="G118" s="517">
        <f>'F- Firefighters (rep)'!H34</f>
        <v>9192.2971067339495</v>
      </c>
      <c r="H118" s="242" t="s">
        <v>711</v>
      </c>
      <c r="I118" s="438">
        <f>'F- Firefighters (rep)'!$I$1</f>
        <v>2015</v>
      </c>
    </row>
    <row r="119" spans="1:9" s="3" customFormat="1" x14ac:dyDescent="0.2">
      <c r="A119" s="242" t="str">
        <f>'N-Fire (rep)'!B10</f>
        <v>FRN201</v>
      </c>
      <c r="B119" s="3" t="str">
        <f>('N-Fire (rep)'!C10)</f>
        <v>FIRE CAPTAIN (ADMINISTRATIVE)</v>
      </c>
      <c r="C119" s="242" t="str">
        <f>'N-Fire (rep)'!A10</f>
        <v>N07</v>
      </c>
      <c r="D119" s="242">
        <v>2</v>
      </c>
      <c r="E119" s="517">
        <f>'N-Fire (rep)'!G10</f>
        <v>9522.0248039524959</v>
      </c>
      <c r="F119" s="517" t="s">
        <v>707</v>
      </c>
      <c r="G119" s="517">
        <f>'N-Fire (rep)'!H10</f>
        <v>10111.526817407344</v>
      </c>
      <c r="H119" s="242" t="s">
        <v>711</v>
      </c>
      <c r="I119" s="437">
        <f>'N-Fire (rep)'!$I$1</f>
        <v>2015</v>
      </c>
    </row>
    <row r="120" spans="1:9" s="3" customFormat="1" x14ac:dyDescent="0.2">
      <c r="A120" s="242" t="str">
        <f>'F- Firefighters (rep)'!B39</f>
        <v>FRF202</v>
      </c>
      <c r="B120" t="str">
        <f>('F- Firefighters (rep)'!C39)</f>
        <v>FIRE CAPTAIN (MSO)</v>
      </c>
      <c r="C120" s="242" t="str">
        <f>'F- Firefighters (rep)'!A39</f>
        <v>F07</v>
      </c>
      <c r="D120" s="242">
        <v>2</v>
      </c>
      <c r="E120" s="517">
        <f>'F- Firefighters (rep)'!G39</f>
        <v>9522.0248039524959</v>
      </c>
      <c r="F120" s="517" t="s">
        <v>707</v>
      </c>
      <c r="G120" s="517">
        <f>'F- Firefighters (rep)'!H39</f>
        <v>10111.526817407344</v>
      </c>
      <c r="H120" s="242" t="s">
        <v>711</v>
      </c>
      <c r="I120" s="438">
        <f>'F- Firefighters (rep)'!$I$1</f>
        <v>2015</v>
      </c>
    </row>
    <row r="121" spans="1:9" s="3" customFormat="1" x14ac:dyDescent="0.2">
      <c r="A121" s="242" t="str">
        <f>'N-Fire (rep)'!B11</f>
        <v>FRN403</v>
      </c>
      <c r="B121" t="str">
        <f>('N-Fire (rep)'!C11)</f>
        <v>FIRE CAPTAIN (SUPPLY &amp; MAINT COORD</v>
      </c>
      <c r="C121" s="242" t="str">
        <f>'N-Fire (rep)'!A10</f>
        <v>N07</v>
      </c>
      <c r="D121" s="242">
        <v>2</v>
      </c>
      <c r="E121" s="517">
        <f>'N-Fire (rep)'!G10</f>
        <v>9522.0248039524959</v>
      </c>
      <c r="F121" s="517" t="s">
        <v>707</v>
      </c>
      <c r="G121" s="517">
        <f>'N-Fire (rep)'!H10</f>
        <v>10111.526817407344</v>
      </c>
      <c r="H121" s="242" t="s">
        <v>711</v>
      </c>
      <c r="I121" s="437">
        <f>'N-Fire (rep)'!$I$1</f>
        <v>2015</v>
      </c>
    </row>
    <row r="122" spans="1:9" s="3" customFormat="1" x14ac:dyDescent="0.2">
      <c r="A122" s="242" t="str">
        <f>'E -Executive'!C18</f>
        <v>FNE101</v>
      </c>
      <c r="B122" t="str">
        <f>'E -Executive'!D18</f>
        <v>FIRE CHIEF</v>
      </c>
      <c r="C122" s="242" t="str">
        <f>'E -Executive'!A8</f>
        <v>(E02)</v>
      </c>
      <c r="D122" s="242" t="s">
        <v>391</v>
      </c>
      <c r="E122" s="516">
        <f>'E -Executive'!E8</f>
        <v>9589.4477654999992</v>
      </c>
      <c r="F122" s="516">
        <f>(E122+G122)/2</f>
        <v>12453.815701083335</v>
      </c>
      <c r="G122" s="516">
        <f>'E -Executive'!G8</f>
        <v>15318.183636666668</v>
      </c>
      <c r="H122" s="242" t="s">
        <v>710</v>
      </c>
      <c r="I122" s="439">
        <f>'E -Executive'!$H$1</f>
        <v>2017</v>
      </c>
    </row>
    <row r="123" spans="1:9" x14ac:dyDescent="0.2">
      <c r="A123" s="242" t="str">
        <f>'G - General Pay Plan'!C90</f>
        <v>GNG212</v>
      </c>
      <c r="B123" t="str">
        <f>('G - General Pay Plan'!D90)</f>
        <v>FIRE EDUCATION COORDINATOR</v>
      </c>
      <c r="C123" s="242" t="str">
        <f>'G - General Pay Plan'!A86</f>
        <v>G23</v>
      </c>
      <c r="D123" s="242" t="s">
        <v>391</v>
      </c>
      <c r="E123" s="516">
        <f>'G - General Pay Plan'!E86</f>
        <v>5158.8286342500005</v>
      </c>
      <c r="F123" s="516">
        <f>'G - General Pay Plan'!F86</f>
        <v>6138.7468067</v>
      </c>
      <c r="G123" s="516">
        <f>'G - General Pay Plan'!G86</f>
        <v>7118.6649706666658</v>
      </c>
      <c r="H123" s="242" t="s">
        <v>710</v>
      </c>
      <c r="I123" s="440">
        <f>'G - General Pay Plan'!$H$1</f>
        <v>2017</v>
      </c>
    </row>
    <row r="124" spans="1:9" x14ac:dyDescent="0.2">
      <c r="A124" s="242" t="str">
        <f>'F- Firefighters (rep)'!B3</f>
        <v>FRF401</v>
      </c>
      <c r="B124" t="str">
        <f>('F- Firefighters (rep)'!C3)</f>
        <v>FIRE FIGHTER</v>
      </c>
      <c r="C124" s="242" t="str">
        <f>'F- Firefighters (rep)'!A3</f>
        <v>F01</v>
      </c>
      <c r="D124" s="242">
        <v>5</v>
      </c>
      <c r="E124" s="517">
        <f>'F- Firefighters (rep)'!D3</f>
        <v>5715.2108098389344</v>
      </c>
      <c r="F124" s="517">
        <f>(E124+G124)/2</f>
        <v>6490.9244194388148</v>
      </c>
      <c r="G124" s="517">
        <f>'F- Firefighters (rep)'!H3</f>
        <v>7266.6380290386951</v>
      </c>
      <c r="H124" s="242" t="s">
        <v>711</v>
      </c>
      <c r="I124" s="438">
        <f>'F- Firefighters (rep)'!$I$1</f>
        <v>2015</v>
      </c>
    </row>
    <row r="125" spans="1:9" s="3" customFormat="1" x14ac:dyDescent="0.2">
      <c r="A125" s="242" t="str">
        <f>'F- Firefighters (rep)'!B14</f>
        <v>FRF402</v>
      </c>
      <c r="B125" t="str">
        <f>('F- Firefighters (rep)'!C14)</f>
        <v>FIRE FIGHTER/ENGINEER</v>
      </c>
      <c r="C125" s="242" t="str">
        <f>'F- Firefighters (rep)'!A14</f>
        <v>F02</v>
      </c>
      <c r="D125" s="242">
        <v>5</v>
      </c>
      <c r="E125" s="517">
        <f>'F- Firefighters (rep)'!D14</f>
        <v>6000.9713503308813</v>
      </c>
      <c r="F125" s="517">
        <f>(E125+G125)/2</f>
        <v>6815.4706404107555</v>
      </c>
      <c r="G125" s="517">
        <f>'F- Firefighters (rep)'!H14</f>
        <v>7629.9699304906298</v>
      </c>
      <c r="H125" s="242" t="s">
        <v>711</v>
      </c>
      <c r="I125" s="438">
        <f>'F- Firefighters (rep)'!$I$1</f>
        <v>2015</v>
      </c>
    </row>
    <row r="126" spans="1:9" s="3" customFormat="1" x14ac:dyDescent="0.2">
      <c r="A126" s="242" t="str">
        <f>'F- Firefighters (rep)'!B19</f>
        <v>FRF403</v>
      </c>
      <c r="B126" t="str">
        <f>('F- Firefighters (rep)'!C19)</f>
        <v>FIRE FIGHTER/PARAMEDIC</v>
      </c>
      <c r="C126" s="242" t="str">
        <f>'F- Firefighters (rep)'!A19</f>
        <v>F03</v>
      </c>
      <c r="D126" s="242">
        <v>5</v>
      </c>
      <c r="E126" s="517">
        <f>'F- Firefighters (rep)'!D19</f>
        <v>6572.4924313147749</v>
      </c>
      <c r="F126" s="517">
        <f>(E126+G126)/2</f>
        <v>7464.5630823546371</v>
      </c>
      <c r="G126" s="517">
        <f>'F- Firefighters (rep)'!H19</f>
        <v>8356.6337333944994</v>
      </c>
      <c r="H126" s="242" t="s">
        <v>711</v>
      </c>
      <c r="I126" s="438">
        <f>'F- Firefighters (rep)'!$I$1</f>
        <v>2015</v>
      </c>
    </row>
    <row r="127" spans="1:9" x14ac:dyDescent="0.2">
      <c r="A127" s="242" t="str">
        <f>'F- Firefighters (rep)'!B9</f>
        <v>FRF401</v>
      </c>
      <c r="B127" s="3" t="str">
        <f>('F- Firefighters (rep)'!C9)</f>
        <v>FIRE FIGHTER/STAFF ASST</v>
      </c>
      <c r="C127" s="242" t="str">
        <f>'F- Firefighters (rep)'!A9</f>
        <v>F01</v>
      </c>
      <c r="D127" s="242">
        <v>5</v>
      </c>
      <c r="E127" s="517" t="s">
        <v>707</v>
      </c>
      <c r="F127" s="517" t="s">
        <v>707</v>
      </c>
      <c r="G127" s="517">
        <f>'F- Firefighters (rep)'!H9</f>
        <v>7702.6363107810175</v>
      </c>
      <c r="H127" s="242" t="s">
        <v>711</v>
      </c>
      <c r="I127" s="438">
        <f>'F- Firefighters (rep)'!$I$1</f>
        <v>2015</v>
      </c>
    </row>
    <row r="128" spans="1:9" x14ac:dyDescent="0.2">
      <c r="A128" s="242" t="str">
        <f>'F- Firefighters (rep)'!B24</f>
        <v>FRF404</v>
      </c>
      <c r="B128" t="str">
        <f>('F- Firefighters (rep)'!C24)</f>
        <v>FIRE LIEUTENANT</v>
      </c>
      <c r="C128" s="242" t="str">
        <f>'F- Firefighters (rep)'!A24</f>
        <v>F04</v>
      </c>
      <c r="D128" s="242">
        <v>2</v>
      </c>
      <c r="E128" s="517">
        <f>'F- Firefighters (rep)'!G24</f>
        <v>7869.4419867376</v>
      </c>
      <c r="F128" s="517" t="s">
        <v>707</v>
      </c>
      <c r="G128" s="517">
        <f>'F- Firefighters (rep)'!H24</f>
        <v>8356.6337333944994</v>
      </c>
      <c r="H128" s="242" t="s">
        <v>711</v>
      </c>
      <c r="I128" s="438">
        <f>'F- Firefighters (rep)'!$I$1</f>
        <v>2015</v>
      </c>
    </row>
    <row r="129" spans="1:9" s="3" customFormat="1" x14ac:dyDescent="0.2">
      <c r="A129" s="242" t="str">
        <f>'N-Fire (rep)'!B3</f>
        <v>FRN401</v>
      </c>
      <c r="B129" s="3" t="str">
        <f>('N-Fire (rep)'!C3)</f>
        <v>FIRE LIEUTENANT (ADMINISTRATIVE)</v>
      </c>
      <c r="C129" s="242" t="str">
        <f>'N-Fire (rep)'!A3</f>
        <v>N05</v>
      </c>
      <c r="D129" s="242">
        <v>2</v>
      </c>
      <c r="E129" s="517">
        <f>'N-Fire (rep)'!G3</f>
        <v>8656.3861854113602</v>
      </c>
      <c r="F129" s="517" t="s">
        <v>707</v>
      </c>
      <c r="G129" s="517">
        <f>'N-Fire (rep)'!H3</f>
        <v>9192.2971067339495</v>
      </c>
      <c r="H129" s="242" t="s">
        <v>711</v>
      </c>
      <c r="I129" s="437">
        <f>'N-Fire (rep)'!$I$1</f>
        <v>2015</v>
      </c>
    </row>
    <row r="130" spans="1:9" x14ac:dyDescent="0.2">
      <c r="A130" s="242" t="str">
        <f>'F- Firefighters (rep)'!B29</f>
        <v>FRF405</v>
      </c>
      <c r="B130" t="str">
        <f>('F- Firefighters (rep)'!C29)</f>
        <v>FIRE LIEUTENANT (MSO)</v>
      </c>
      <c r="C130" s="242" t="str">
        <f>'F- Firefighters (rep)'!A29</f>
        <v>F05</v>
      </c>
      <c r="D130" s="242">
        <v>2</v>
      </c>
      <c r="E130" s="517">
        <f>'F- Firefighters (rep)'!G29</f>
        <v>8656.3861854113602</v>
      </c>
      <c r="F130" s="517" t="s">
        <v>707</v>
      </c>
      <c r="G130" s="517">
        <f>'F- Firefighters (rep)'!H29</f>
        <v>9192.2971067339495</v>
      </c>
      <c r="H130" s="242" t="s">
        <v>711</v>
      </c>
      <c r="I130" s="438">
        <f>'F- Firefighters (rep)'!$I$1</f>
        <v>2015</v>
      </c>
    </row>
    <row r="131" spans="1:9" x14ac:dyDescent="0.2">
      <c r="A131" s="73" t="str">
        <f>'V-Fire Marshal'!C3</f>
        <v>FNV201</v>
      </c>
      <c r="B131" t="str">
        <f>'V-Fire Marshal'!D3</f>
        <v>FIRE MARSHAL</v>
      </c>
      <c r="C131" s="73" t="str">
        <f>'V-Fire Marshal'!A3</f>
        <v>V01</v>
      </c>
      <c r="D131" s="73" t="s">
        <v>391</v>
      </c>
      <c r="E131" s="74">
        <f>'V-Fire Marshal'!E3</f>
        <v>9602.156138166667</v>
      </c>
      <c r="F131" s="74">
        <f>'V-Fire Marshal'!F3</f>
        <v>10196.247271516668</v>
      </c>
      <c r="G131" s="74">
        <f>'V-Fire Marshal'!G3</f>
        <v>10790.338404866667</v>
      </c>
      <c r="H131" s="73" t="s">
        <v>710</v>
      </c>
      <c r="I131" s="439">
        <f>'V-Fire Marshal'!$H$1</f>
        <v>2017</v>
      </c>
    </row>
    <row r="132" spans="1:9" x14ac:dyDescent="0.2">
      <c r="A132" s="397" t="str">
        <f>'G - General Pay Plan'!C155</f>
        <v>FNG301</v>
      </c>
      <c r="B132" t="str">
        <f>('G - General Pay Plan'!D155)</f>
        <v>FIRE PLAN REVIEWER</v>
      </c>
      <c r="C132" s="397" t="str">
        <f>'G - General Pay Plan'!A146</f>
        <v>G26</v>
      </c>
      <c r="D132" s="397" t="s">
        <v>391</v>
      </c>
      <c r="E132" s="515">
        <f>'G - General Pay Plan'!E146</f>
        <v>5987.0927253500004</v>
      </c>
      <c r="F132" s="515">
        <f>'G - General Pay Plan'!F146</f>
        <v>7123.8498313000009</v>
      </c>
      <c r="G132" s="515">
        <f>'G - General Pay Plan'!G146</f>
        <v>8260.6069372500006</v>
      </c>
      <c r="H132" s="397" t="s">
        <v>710</v>
      </c>
      <c r="I132" s="440">
        <f>'G - General Pay Plan'!$H$1</f>
        <v>2017</v>
      </c>
    </row>
    <row r="133" spans="1:9" x14ac:dyDescent="0.2">
      <c r="A133" s="242" t="str">
        <f>'K- Fire Prevention (rep)'!B3</f>
        <v>FRK303</v>
      </c>
      <c r="B133" t="str">
        <f>('K- Fire Prevention (rep)'!C3)</f>
        <v>FIRE PREVENTION OFFICER</v>
      </c>
      <c r="C133" s="242" t="str">
        <f>'K- Fire Prevention (rep)'!A3</f>
        <v>K01</v>
      </c>
      <c r="D133" s="242">
        <v>6</v>
      </c>
      <c r="E133" s="521">
        <f>'K- Fire Prevention (rep)'!D3</f>
        <v>5806.8552400000008</v>
      </c>
      <c r="F133" s="521">
        <f>(E133+G133)/2</f>
        <v>6672.6489700000002</v>
      </c>
      <c r="G133" s="521">
        <f>'K- Fire Prevention (rep)'!I3</f>
        <v>7538.4426999999996</v>
      </c>
      <c r="H133" s="242" t="s">
        <v>711</v>
      </c>
      <c r="I133" s="439">
        <f>'K- Fire Prevention (rep)'!$J$1</f>
        <v>2017</v>
      </c>
    </row>
    <row r="134" spans="1:9" x14ac:dyDescent="0.2">
      <c r="A134" s="397" t="str">
        <f>'G - General Pay Plan'!C223</f>
        <v>BNG215</v>
      </c>
      <c r="B134" t="str">
        <f>'G - General Pay Plan'!D223</f>
        <v>FISCAL LONG RANGE PLANNING ADMINISTRATOR</v>
      </c>
      <c r="C134" s="397" t="str">
        <f>'G - General Pay Plan'!A212</f>
        <v>G30</v>
      </c>
      <c r="D134" s="397" t="s">
        <v>391</v>
      </c>
      <c r="E134" s="515">
        <f>'G - General Pay Plan'!E212</f>
        <v>7301.4277322666667</v>
      </c>
      <c r="F134" s="515">
        <f>'G - General Pay Plan'!F212</f>
        <v>8687.7011343833346</v>
      </c>
      <c r="G134" s="515">
        <f>'G - General Pay Plan'!G212</f>
        <v>10073.974528016666</v>
      </c>
      <c r="H134" s="397" t="s">
        <v>710</v>
      </c>
      <c r="I134" s="440">
        <f>'G - General Pay Plan'!$H$1</f>
        <v>2017</v>
      </c>
    </row>
    <row r="135" spans="1:9" x14ac:dyDescent="0.2">
      <c r="A135" s="242" t="str">
        <f>'G - General Pay Plan'!C222</f>
        <v>BNG210</v>
      </c>
      <c r="B135" t="str">
        <f>('G - General Pay Plan'!D222)</f>
        <v>FISCAL MANAGER</v>
      </c>
      <c r="C135" s="242" t="str">
        <f>'G - General Pay Plan'!A212</f>
        <v>G30</v>
      </c>
      <c r="D135" s="242" t="s">
        <v>391</v>
      </c>
      <c r="E135" s="516">
        <f>'G - General Pay Plan'!E212</f>
        <v>7301.4277322666667</v>
      </c>
      <c r="F135" s="516">
        <f>'G - General Pay Plan'!F212</f>
        <v>8687.7011343833346</v>
      </c>
      <c r="G135" s="516">
        <f>'G - General Pay Plan'!G212</f>
        <v>10073.974528016666</v>
      </c>
      <c r="H135" s="242" t="s">
        <v>710</v>
      </c>
      <c r="I135" s="440">
        <f>'G - General Pay Plan'!$H$1</f>
        <v>2017</v>
      </c>
    </row>
    <row r="136" spans="1:9" x14ac:dyDescent="0.2">
      <c r="A136" s="397" t="str">
        <f>'G - General Pay Plan'!C156</f>
        <v>MNG211</v>
      </c>
      <c r="B136" s="77" t="str">
        <f>'G - General Pay Plan'!D156</f>
        <v>FLEET &amp; COMMUNICATIONS ADMINISTRATOR</v>
      </c>
      <c r="C136" s="397" t="str">
        <f>'G - General Pay Plan'!A146</f>
        <v>G26</v>
      </c>
      <c r="D136" s="72" t="s">
        <v>391</v>
      </c>
      <c r="E136" s="515">
        <f>'G - General Pay Plan'!E146</f>
        <v>5987.0927253500004</v>
      </c>
      <c r="F136" s="515">
        <f>'G - General Pay Plan'!F146</f>
        <v>7123.8498313000009</v>
      </c>
      <c r="G136" s="515">
        <f>'G - General Pay Plan'!G146</f>
        <v>8260.6069372500006</v>
      </c>
      <c r="H136" s="72" t="s">
        <v>710</v>
      </c>
      <c r="I136" s="440">
        <f>'G - General Pay Plan'!$H$1</f>
        <v>2017</v>
      </c>
    </row>
    <row r="137" spans="1:9" x14ac:dyDescent="0.2">
      <c r="A137" s="397" t="str">
        <f>'G - General Pay Plan'!C157</f>
        <v>PNG302</v>
      </c>
      <c r="B137" t="str">
        <f>('G - General Pay Plan'!D157)</f>
        <v>FORENSIC LAB MANAGER</v>
      </c>
      <c r="C137" s="397" t="str">
        <f>'G - General Pay Plan'!A146</f>
        <v>G26</v>
      </c>
      <c r="D137" s="397" t="s">
        <v>391</v>
      </c>
      <c r="E137" s="515">
        <f>'G - General Pay Plan'!E146</f>
        <v>5987.0927253500004</v>
      </c>
      <c r="F137" s="515">
        <f>'G - General Pay Plan'!F146</f>
        <v>7123.8498313000009</v>
      </c>
      <c r="G137" s="515">
        <f>'G - General Pay Plan'!G146</f>
        <v>8260.6069372500006</v>
      </c>
      <c r="H137" s="397" t="s">
        <v>710</v>
      </c>
      <c r="I137" s="440">
        <f>'G - General Pay Plan'!$H$1</f>
        <v>2017</v>
      </c>
    </row>
    <row r="138" spans="1:9" x14ac:dyDescent="0.2">
      <c r="A138" s="397" t="str">
        <f>'G - General Pay Plan'!C158</f>
        <v>MNG202</v>
      </c>
      <c r="B138" t="str">
        <f>('G - General Pay Plan'!D158)</f>
        <v>GOLF COURSE MAINTENANCE SUPERINTENDENT</v>
      </c>
      <c r="C138" s="397" t="str">
        <f>'G - General Pay Plan'!A146</f>
        <v>G26</v>
      </c>
      <c r="D138" s="397" t="s">
        <v>391</v>
      </c>
      <c r="E138" s="515">
        <f>'G - General Pay Plan'!E146</f>
        <v>5987.0927253500004</v>
      </c>
      <c r="F138" s="515">
        <f>'G - General Pay Plan'!F146</f>
        <v>7123.8498313000009</v>
      </c>
      <c r="G138" s="515">
        <f>'G - General Pay Plan'!G146</f>
        <v>8260.6069372500006</v>
      </c>
      <c r="H138" s="397" t="s">
        <v>710</v>
      </c>
      <c r="I138" s="440">
        <f>'G - General Pay Plan'!$H$1</f>
        <v>2017</v>
      </c>
    </row>
    <row r="139" spans="1:9" x14ac:dyDescent="0.2">
      <c r="A139" s="397" t="str">
        <f>'G - General Pay Plan'!C116</f>
        <v>ANG206</v>
      </c>
      <c r="B139" t="str">
        <f>('G - General Pay Plan'!D116)</f>
        <v>GRANT ADMINISTRATOR</v>
      </c>
      <c r="C139" s="397" t="str">
        <f>'G - General Pay Plan'!A106</f>
        <v>G24</v>
      </c>
      <c r="D139" s="397" t="s">
        <v>391</v>
      </c>
      <c r="E139" s="515">
        <f>'G - General Pay Plan'!E106</f>
        <v>5421.9553019833338</v>
      </c>
      <c r="F139" s="515">
        <f>'G - General Pay Plan'!F106</f>
        <v>6451.7769118166661</v>
      </c>
      <c r="G139" s="515">
        <f>'G - General Pay Plan'!G106</f>
        <v>7481.5985301333321</v>
      </c>
      <c r="H139" s="397" t="s">
        <v>710</v>
      </c>
      <c r="I139" s="440">
        <f>'G - General Pay Plan'!$H$1</f>
        <v>2017</v>
      </c>
    </row>
    <row r="140" spans="1:9" x14ac:dyDescent="0.2">
      <c r="A140" s="397" t="str">
        <f>'G - General Pay Plan'!C91</f>
        <v>ANG207</v>
      </c>
      <c r="B140" t="str">
        <f>('G - General Pay Plan'!D91)</f>
        <v>HEARING EXAMINER OFFICE ADMINISTRATOR</v>
      </c>
      <c r="C140" s="397" t="str">
        <f>'G - General Pay Plan'!A86</f>
        <v>G23</v>
      </c>
      <c r="D140" s="397" t="s">
        <v>391</v>
      </c>
      <c r="E140" s="515">
        <f>'G - General Pay Plan'!E86</f>
        <v>5158.8286342500005</v>
      </c>
      <c r="F140" s="515">
        <f>'G - General Pay Plan'!F86</f>
        <v>6138.7468067</v>
      </c>
      <c r="G140" s="515">
        <f>'G - General Pay Plan'!G86</f>
        <v>7118.6649706666658</v>
      </c>
      <c r="H140" s="397" t="s">
        <v>710</v>
      </c>
      <c r="I140" s="440">
        <f>'G - General Pay Plan'!$H$1</f>
        <v>2017</v>
      </c>
    </row>
    <row r="141" spans="1:9" x14ac:dyDescent="0.2">
      <c r="A141" s="397" t="str">
        <f>'G - General Pay Plan'!C78</f>
        <v>RNG503</v>
      </c>
      <c r="B141" t="str">
        <f>('G - General Pay Plan'!D78)</f>
        <v>HOME LOAN REPAIR SPECIALIST</v>
      </c>
      <c r="C141" s="397" t="str">
        <f>'G - General Pay Plan'!A75</f>
        <v>G22</v>
      </c>
      <c r="D141" s="397" t="s">
        <v>391</v>
      </c>
      <c r="E141" s="515">
        <f>'G - General Pay Plan'!E75</f>
        <v>4909.9610331333333</v>
      </c>
      <c r="F141" s="515">
        <f>'G - General Pay Plan'!F75</f>
        <v>5843.2164100166674</v>
      </c>
      <c r="G141" s="515">
        <f>'G - General Pay Plan'!G75</f>
        <v>6776.4717869000006</v>
      </c>
      <c r="H141" s="397" t="s">
        <v>710</v>
      </c>
      <c r="I141" s="440">
        <f>'G - General Pay Plan'!$H$1</f>
        <v>2017</v>
      </c>
    </row>
    <row r="142" spans="1:9" x14ac:dyDescent="0.2">
      <c r="A142" s="397" t="str">
        <f>'G - General Pay Plan'!C79</f>
        <v>HNG203</v>
      </c>
      <c r="B142" t="str">
        <f>('G - General Pay Plan'!D79)</f>
        <v>HUMAN RESOURCES ANALYST</v>
      </c>
      <c r="C142" s="397" t="str">
        <f>'G - General Pay Plan'!A75</f>
        <v>G22</v>
      </c>
      <c r="D142" s="397" t="s">
        <v>391</v>
      </c>
      <c r="E142" s="515">
        <f>'G - General Pay Plan'!E75</f>
        <v>4909.9610331333333</v>
      </c>
      <c r="F142" s="515">
        <f>'G - General Pay Plan'!F75</f>
        <v>5843.2164100166674</v>
      </c>
      <c r="G142" s="515">
        <f>'G - General Pay Plan'!G75</f>
        <v>6776.4717869000006</v>
      </c>
      <c r="H142" s="397" t="s">
        <v>710</v>
      </c>
      <c r="I142" s="440">
        <f>'G - General Pay Plan'!$H$1</f>
        <v>2017</v>
      </c>
    </row>
    <row r="143" spans="1:9" s="3" customFormat="1" x14ac:dyDescent="0.2">
      <c r="A143" s="242" t="str">
        <f>'G - General Pay Plan'!C51</f>
        <v>HNG501</v>
      </c>
      <c r="B143" t="str">
        <f>('G - General Pay Plan'!D51)</f>
        <v>HUMAN RESOURCES ASSISTANT</v>
      </c>
      <c r="C143" s="397" t="str">
        <f>'G - General Pay Plan'!A48</f>
        <v>G19</v>
      </c>
      <c r="D143" s="397" t="s">
        <v>391</v>
      </c>
      <c r="E143" s="515">
        <f>'G - General Pay Plan'!E48</f>
        <v>4230.7585845833337</v>
      </c>
      <c r="F143" s="515">
        <f>(E143+G143)/2</f>
        <v>5033.74707605</v>
      </c>
      <c r="G143" s="515">
        <f>'G - General Pay Plan'!G48</f>
        <v>5836.7355675166664</v>
      </c>
      <c r="H143" s="397" t="s">
        <v>711</v>
      </c>
      <c r="I143" s="440">
        <f>'G - General Pay Plan'!$H$1</f>
        <v>2017</v>
      </c>
    </row>
    <row r="144" spans="1:9" x14ac:dyDescent="0.2">
      <c r="A144" s="397" t="str">
        <f>'G - General Pay Plan'!C262</f>
        <v>HNG209</v>
      </c>
      <c r="B144" s="77" t="str">
        <f>'G - General Pay Plan'!D262</f>
        <v>HUMAN RESOURCES DIVISION MANAGER</v>
      </c>
      <c r="C144" s="397" t="str">
        <f>'G - General Pay Plan'!A261</f>
        <v>G33</v>
      </c>
      <c r="D144" s="72" t="s">
        <v>391</v>
      </c>
      <c r="E144" s="515">
        <f>'G - General Pay Plan'!E261</f>
        <v>8470.5895003333335</v>
      </c>
      <c r="F144" s="515">
        <f>'G - General Pay Plan'!F261</f>
        <v>10081.751352383333</v>
      </c>
      <c r="G144" s="515">
        <f>'G - General Pay Plan'!G261</f>
        <v>11692.913195950001</v>
      </c>
      <c r="H144" s="72" t="s">
        <v>710</v>
      </c>
      <c r="I144" s="440">
        <f>'G - General Pay Plan'!$H$1</f>
        <v>2017</v>
      </c>
    </row>
    <row r="145" spans="1:9" s="3" customFormat="1" x14ac:dyDescent="0.2">
      <c r="A145" s="397" t="str">
        <f>'G - General Pay Plan'!C224</f>
        <v>HNG210</v>
      </c>
      <c r="B145" t="str">
        <f>'G - General Pay Plan'!D224</f>
        <v>HUMAN RESOURCES MANAGER</v>
      </c>
      <c r="C145" s="397" t="str">
        <f>'G - General Pay Plan'!A212</f>
        <v>G30</v>
      </c>
      <c r="D145" s="72" t="s">
        <v>391</v>
      </c>
      <c r="E145" s="515">
        <f>'G - General Pay Plan'!E212</f>
        <v>7301.4277322666667</v>
      </c>
      <c r="F145" s="515">
        <f>'G - General Pay Plan'!F212</f>
        <v>8687.7011343833346</v>
      </c>
      <c r="G145" s="515">
        <f>'G - General Pay Plan'!G212</f>
        <v>10073.974528016666</v>
      </c>
      <c r="H145" s="72" t="s">
        <v>710</v>
      </c>
      <c r="I145" s="440">
        <f>'G - General Pay Plan'!$H$1</f>
        <v>2017</v>
      </c>
    </row>
    <row r="146" spans="1:9" s="3" customFormat="1" x14ac:dyDescent="0.2">
      <c r="A146" s="397" t="str">
        <f>'G - General Pay Plan'!C137</f>
        <v>HNG201</v>
      </c>
      <c r="B146" t="str">
        <f>('G - General Pay Plan'!D137)</f>
        <v>HUMAN RESOURCES PROGRAM ADMINISTRATOR</v>
      </c>
      <c r="C146" s="397" t="str">
        <f>'G - General Pay Plan'!A135</f>
        <v>G25</v>
      </c>
      <c r="D146" s="397" t="s">
        <v>391</v>
      </c>
      <c r="E146" s="515">
        <f>'G - General Pay Plan'!E135</f>
        <v>5699.3391530333329</v>
      </c>
      <c r="F146" s="515">
        <f>'G - General Pay Plan'!F135</f>
        <v>6780.3601990833331</v>
      </c>
      <c r="G146" s="515">
        <f>'G - General Pay Plan'!G135</f>
        <v>7861.3812366499997</v>
      </c>
      <c r="H146" s="397" t="s">
        <v>710</v>
      </c>
      <c r="I146" s="440">
        <f>'G - General Pay Plan'!$H$1</f>
        <v>2017</v>
      </c>
    </row>
    <row r="147" spans="1:9" s="3" customFormat="1" x14ac:dyDescent="0.2">
      <c r="A147" s="397" t="str">
        <f>'G - General Pay Plan'!C117</f>
        <v>DNG207</v>
      </c>
      <c r="B147" t="str">
        <f>('G - General Pay Plan'!D117)</f>
        <v>HUMAN SERVICES COORDINATOR</v>
      </c>
      <c r="C147" s="397" t="str">
        <f>'G - General Pay Plan'!A106</f>
        <v>G24</v>
      </c>
      <c r="D147" s="397" t="s">
        <v>391</v>
      </c>
      <c r="E147" s="515">
        <f>'G - General Pay Plan'!E106</f>
        <v>5421.9553019833338</v>
      </c>
      <c r="F147" s="515">
        <f>'G - General Pay Plan'!F106</f>
        <v>6451.7769118166661</v>
      </c>
      <c r="G147" s="515">
        <f>'G - General Pay Plan'!G106</f>
        <v>7481.5985301333321</v>
      </c>
      <c r="H147" s="397" t="s">
        <v>710</v>
      </c>
      <c r="I147" s="440">
        <f>'G - General Pay Plan'!$H$1</f>
        <v>2017</v>
      </c>
    </row>
    <row r="148" spans="1:9" s="3" customFormat="1" x14ac:dyDescent="0.2">
      <c r="A148" s="397" t="str">
        <f>'G - General Pay Plan'!C171</f>
        <v>DNG208</v>
      </c>
      <c r="B148" t="str">
        <f>('G - General Pay Plan'!D171)</f>
        <v>HUMAN SERVICES MANAGER</v>
      </c>
      <c r="C148" s="397" t="str">
        <f>'G - General Pay Plan'!A167</f>
        <v>G27</v>
      </c>
      <c r="D148" s="397" t="s">
        <v>391</v>
      </c>
      <c r="E148" s="515">
        <f>'G - General Pay Plan'!E167</f>
        <v>6291.6973280166667</v>
      </c>
      <c r="F148" s="515">
        <f>'G - General Pay Plan'!F167</f>
        <v>7486.7829241833342</v>
      </c>
      <c r="G148" s="515">
        <f>'G - General Pay Plan'!G167</f>
        <v>8681.8685118666672</v>
      </c>
      <c r="H148" s="397" t="s">
        <v>710</v>
      </c>
      <c r="I148" s="440">
        <f>'G - General Pay Plan'!$H$1</f>
        <v>2017</v>
      </c>
    </row>
    <row r="149" spans="1:9" x14ac:dyDescent="0.2">
      <c r="A149" s="397" t="str">
        <f>'G - General Pay Plan'!C263</f>
        <v>ING208</v>
      </c>
      <c r="B149" t="str">
        <f>('G - General Pay Plan'!D263)</f>
        <v>INFORMATION TECHNOLOGY MANAGER</v>
      </c>
      <c r="C149" s="397" t="str">
        <f>'G - General Pay Plan'!A261</f>
        <v>G33</v>
      </c>
      <c r="D149" s="397" t="s">
        <v>391</v>
      </c>
      <c r="E149" s="515">
        <f>'G - General Pay Plan'!E261</f>
        <v>8470.5895003333335</v>
      </c>
      <c r="F149" s="515">
        <f>'G - General Pay Plan'!F261</f>
        <v>10081.751352383333</v>
      </c>
      <c r="G149" s="515">
        <f>'G - General Pay Plan'!G261</f>
        <v>11692.913195950001</v>
      </c>
      <c r="H149" s="397" t="s">
        <v>710</v>
      </c>
      <c r="I149" s="440">
        <f>'G - General Pay Plan'!$H$1</f>
        <v>2017</v>
      </c>
    </row>
    <row r="150" spans="1:9" x14ac:dyDescent="0.2">
      <c r="A150" s="397" t="str">
        <f>'G - General Pay Plan'!C244</f>
        <v>ING209</v>
      </c>
      <c r="B150" s="3" t="str">
        <f>('G - General Pay Plan'!D244)</f>
        <v>INFORMATION TECHNOLOGY SUPERVISOR</v>
      </c>
      <c r="C150" s="397" t="str">
        <f>'G - General Pay Plan'!A238</f>
        <v>G31</v>
      </c>
      <c r="D150" s="397" t="s">
        <v>391</v>
      </c>
      <c r="E150" s="515">
        <f>'G - General Pay Plan'!E238</f>
        <v>7672.1381076166663</v>
      </c>
      <c r="F150" s="515">
        <f>'G - General Pay Plan'!F238</f>
        <v>9129.701676466666</v>
      </c>
      <c r="G150" s="515">
        <f>'G - General Pay Plan'!G238</f>
        <v>10587.265245316668</v>
      </c>
      <c r="H150" s="397" t="s">
        <v>710</v>
      </c>
      <c r="I150" s="440">
        <f>'G - General Pay Plan'!$H$1</f>
        <v>2017</v>
      </c>
    </row>
    <row r="151" spans="1:9" x14ac:dyDescent="0.2">
      <c r="A151" s="397" t="str">
        <f>'G - General Pay Plan'!C225</f>
        <v>JNG204</v>
      </c>
      <c r="B151" t="str">
        <f>'G - General Pay Plan'!D225</f>
        <v>INSPECTION SERVICES MANAGER</v>
      </c>
      <c r="C151" s="397" t="str">
        <f>'G - General Pay Plan'!A212</f>
        <v>G30</v>
      </c>
      <c r="D151" s="397" t="s">
        <v>391</v>
      </c>
      <c r="E151" s="515">
        <f>'G - General Pay Plan'!E212</f>
        <v>7301.4277322666667</v>
      </c>
      <c r="F151" s="515">
        <f>'G - General Pay Plan'!F212</f>
        <v>8687.7011343833346</v>
      </c>
      <c r="G151" s="515">
        <f>'G - General Pay Plan'!G212</f>
        <v>10073.974528016666</v>
      </c>
      <c r="H151" s="397" t="s">
        <v>710</v>
      </c>
      <c r="I151" s="440">
        <f>'G - General Pay Plan'!$H$1</f>
        <v>2017</v>
      </c>
    </row>
    <row r="152" spans="1:9" x14ac:dyDescent="0.2">
      <c r="A152" s="397" t="str">
        <f>'G - General Pay Plan'!C172</f>
        <v>JNG202</v>
      </c>
      <c r="B152" t="str">
        <f>('G - General Pay Plan'!D172)</f>
        <v>INSPECTION SUPERVISOR</v>
      </c>
      <c r="C152" s="397" t="str">
        <f>'G - General Pay Plan'!A167</f>
        <v>G27</v>
      </c>
      <c r="D152" s="397" t="s">
        <v>391</v>
      </c>
      <c r="E152" s="515">
        <f>'G - General Pay Plan'!E167</f>
        <v>6291.6973280166667</v>
      </c>
      <c r="F152" s="515">
        <f>'G - General Pay Plan'!F167</f>
        <v>7486.7829241833342</v>
      </c>
      <c r="G152" s="515">
        <f>'G - General Pay Plan'!G167</f>
        <v>8681.8685118666672</v>
      </c>
      <c r="H152" s="397" t="s">
        <v>710</v>
      </c>
      <c r="I152" s="440">
        <f>'G - General Pay Plan'!$H$1</f>
        <v>2017</v>
      </c>
    </row>
    <row r="153" spans="1:9" x14ac:dyDescent="0.2">
      <c r="A153" s="73" t="str">
        <f>'H- Bldg Insp, Examiners (rep)'!C3</f>
        <v>JRH302</v>
      </c>
      <c r="B153" t="str">
        <f>'H- Bldg Insp, Examiners (rep)'!D3</f>
        <v>INSPECTOR</v>
      </c>
      <c r="C153" s="73" t="str">
        <f>'H- Bldg Insp, Examiners (rep)'!A3</f>
        <v>H01</v>
      </c>
      <c r="D153" s="73">
        <v>3</v>
      </c>
      <c r="E153" s="74">
        <f>'H- Bldg Insp, Examiners (rep)'!E3</f>
        <v>6365.9995290500001</v>
      </c>
      <c r="F153" s="74">
        <f>'H- Bldg Insp, Examiners (rep)'!F3</f>
        <v>6691.14353355</v>
      </c>
      <c r="G153" s="74">
        <f>'H- Bldg Insp, Examiners (rep)'!G3</f>
        <v>7026.7619950500002</v>
      </c>
      <c r="H153" s="73" t="s">
        <v>711</v>
      </c>
      <c r="I153" s="439">
        <f>'H- Bldg Insp, Examiners (rep)'!$H$1</f>
        <v>2017</v>
      </c>
    </row>
    <row r="154" spans="1:9" x14ac:dyDescent="0.2">
      <c r="A154" s="242" t="str">
        <f>'B- Parks,Util,Civic Svc (rep)'!B32</f>
        <v>MRB802</v>
      </c>
      <c r="B154" s="4" t="str">
        <f>'B- Parks,Util,Civic Svc (rep)'!C32</f>
        <v>INVENTORY SPECIALIST 1</v>
      </c>
      <c r="C154" s="242" t="str">
        <f>'B- Parks,Util,Civic Svc (rep)'!A31</f>
        <v>B35</v>
      </c>
      <c r="D154" s="242">
        <v>6</v>
      </c>
      <c r="E154" s="517">
        <f>'B- Parks,Util,Civic Svc (rep)'!D31</f>
        <v>4384.8487059999998</v>
      </c>
      <c r="F154" s="517">
        <f>(E154+G154)/2</f>
        <v>4948.1625690000001</v>
      </c>
      <c r="G154" s="517">
        <f>'B- Parks,Util,Civic Svc (rep)'!I31</f>
        <v>5511.4764320000004</v>
      </c>
      <c r="H154" s="242" t="s">
        <v>711</v>
      </c>
      <c r="I154" s="439">
        <f>'B- Parks,Util,Civic Svc (rep)'!$K$1</f>
        <v>2017</v>
      </c>
    </row>
    <row r="155" spans="1:9" x14ac:dyDescent="0.2">
      <c r="A155" s="242" t="str">
        <f>'B- Parks,Util,Civic Svc (rep)'!B39</f>
        <v>MRB803</v>
      </c>
      <c r="B155" s="4" t="str">
        <f>'B- Parks,Util,Civic Svc (rep)'!C39</f>
        <v>INVENTORY SPECIALIST 2</v>
      </c>
      <c r="C155" s="242" t="str">
        <f>'B- Parks,Util,Civic Svc (rep)'!A39</f>
        <v>B38</v>
      </c>
      <c r="D155" s="242">
        <v>6</v>
      </c>
      <c r="E155" s="517">
        <f>'B- Parks,Util,Civic Svc (rep)'!D39</f>
        <v>4841.0755859999999</v>
      </c>
      <c r="F155" s="517">
        <f>(E155+G155)/2</f>
        <v>5462.685219</v>
      </c>
      <c r="G155" s="517">
        <f>'B- Parks,Util,Civic Svc (rep)'!I39</f>
        <v>6084.294852</v>
      </c>
      <c r="H155" s="242" t="s">
        <v>711</v>
      </c>
      <c r="I155" s="439">
        <f>'B- Parks,Util,Civic Svc (rep)'!$K$1</f>
        <v>2017</v>
      </c>
    </row>
    <row r="156" spans="1:9" x14ac:dyDescent="0.2">
      <c r="A156" s="242" t="str">
        <f>'G - General Pay Plan'!C118</f>
        <v>ING223</v>
      </c>
      <c r="B156" t="str">
        <f>('G - General Pay Plan'!D118)</f>
        <v>IT APPLICATION DEVELOPER 1</v>
      </c>
      <c r="C156" s="242" t="str">
        <f>'G - General Pay Plan'!A106</f>
        <v>G24</v>
      </c>
      <c r="D156" s="242" t="s">
        <v>391</v>
      </c>
      <c r="E156" s="516">
        <f>'G - General Pay Plan'!E106</f>
        <v>5421.9553019833338</v>
      </c>
      <c r="F156" s="516">
        <f>'G - General Pay Plan'!F106</f>
        <v>6451.7769118166661</v>
      </c>
      <c r="G156" s="516">
        <f>'G - General Pay Plan'!G106</f>
        <v>7481.5985301333321</v>
      </c>
      <c r="H156" s="242" t="s">
        <v>710</v>
      </c>
      <c r="I156" s="440">
        <f>'G - General Pay Plan'!$H$1</f>
        <v>2017</v>
      </c>
    </row>
    <row r="157" spans="1:9" x14ac:dyDescent="0.2">
      <c r="A157" s="397" t="str">
        <f>'G - General Pay Plan'!C173</f>
        <v>ING222</v>
      </c>
      <c r="B157" t="str">
        <f>('G - General Pay Plan'!D173)</f>
        <v>IT APPLICATION DEVELOPER 2</v>
      </c>
      <c r="C157" s="397" t="str">
        <f>'G - General Pay Plan'!A167</f>
        <v>G27</v>
      </c>
      <c r="D157" s="397" t="s">
        <v>391</v>
      </c>
      <c r="E157" s="515">
        <f>'G - General Pay Plan'!E167</f>
        <v>6291.6973280166667</v>
      </c>
      <c r="F157" s="515">
        <f>'G - General Pay Plan'!F167</f>
        <v>7486.7829241833342</v>
      </c>
      <c r="G157" s="515">
        <f>'G - General Pay Plan'!G167</f>
        <v>8681.8685118666672</v>
      </c>
      <c r="H157" s="397" t="s">
        <v>710</v>
      </c>
      <c r="I157" s="440">
        <f>'G - General Pay Plan'!$H$1</f>
        <v>2017</v>
      </c>
    </row>
    <row r="158" spans="1:9" x14ac:dyDescent="0.2">
      <c r="A158" s="397" t="str">
        <f>'G - General Pay Plan'!C226</f>
        <v>ING221</v>
      </c>
      <c r="B158" t="str">
        <f>('G - General Pay Plan'!D226)</f>
        <v>IT APPLICATION DEVELOPER 3</v>
      </c>
      <c r="C158" s="397" t="str">
        <f>'G - General Pay Plan'!A212</f>
        <v>G30</v>
      </c>
      <c r="D158" s="397" t="s">
        <v>391</v>
      </c>
      <c r="E158" s="515">
        <f>'G - General Pay Plan'!E212</f>
        <v>7301.4277322666667</v>
      </c>
      <c r="F158" s="515">
        <f>'G - General Pay Plan'!F212</f>
        <v>8687.7011343833346</v>
      </c>
      <c r="G158" s="515">
        <f>'G - General Pay Plan'!G212</f>
        <v>10073.974528016666</v>
      </c>
      <c r="H158" s="397" t="s">
        <v>710</v>
      </c>
      <c r="I158" s="440">
        <f>'G - General Pay Plan'!$H$1</f>
        <v>2017</v>
      </c>
    </row>
    <row r="159" spans="1:9" x14ac:dyDescent="0.2">
      <c r="A159" s="391" t="str">
        <f>'G - General Pay Plan'!C245</f>
        <v>ING220</v>
      </c>
      <c r="B159" s="3" t="str">
        <f>('G - General Pay Plan'!D245)</f>
        <v>IT APPLICATION DEVELOPER 4A</v>
      </c>
      <c r="C159" s="391" t="str">
        <f>'G - General Pay Plan'!A238</f>
        <v>G31</v>
      </c>
      <c r="D159" s="397" t="s">
        <v>391</v>
      </c>
      <c r="E159" s="515">
        <f>'G - General Pay Plan'!E238</f>
        <v>7672.1381076166663</v>
      </c>
      <c r="F159" s="515">
        <f>'G - General Pay Plan'!F238</f>
        <v>9129.701676466666</v>
      </c>
      <c r="G159" s="515">
        <f>'G - General Pay Plan'!G238</f>
        <v>10587.265245316668</v>
      </c>
      <c r="H159" s="397" t="s">
        <v>710</v>
      </c>
      <c r="I159" s="440">
        <f>'G - General Pay Plan'!$H$1</f>
        <v>2017</v>
      </c>
    </row>
    <row r="160" spans="1:9" x14ac:dyDescent="0.2">
      <c r="A160" s="391" t="str">
        <f>'G - General Pay Plan'!C264</f>
        <v>ING219</v>
      </c>
      <c r="B160" t="str">
        <f>('G - General Pay Plan'!D264)</f>
        <v>IT APPLICATION DEVELOPER 4B</v>
      </c>
      <c r="C160" s="391" t="str">
        <f>'G - General Pay Plan'!A261</f>
        <v>G33</v>
      </c>
      <c r="D160" s="397" t="s">
        <v>391</v>
      </c>
      <c r="E160" s="515">
        <f>'G - General Pay Plan'!E261</f>
        <v>8470.5895003333335</v>
      </c>
      <c r="F160" s="515">
        <f>'G - General Pay Plan'!F261</f>
        <v>10081.751352383333</v>
      </c>
      <c r="G160" s="515">
        <f>'G - General Pay Plan'!G261</f>
        <v>11692.913195950001</v>
      </c>
      <c r="H160" s="391" t="s">
        <v>710</v>
      </c>
      <c r="I160" s="440">
        <f>'G - General Pay Plan'!$H$1</f>
        <v>2017</v>
      </c>
    </row>
    <row r="161" spans="1:9" x14ac:dyDescent="0.2">
      <c r="A161" s="397" t="str">
        <f>'G - General Pay Plan'!C33</f>
        <v>ING507</v>
      </c>
      <c r="B161" t="str">
        <f>('G - General Pay Plan'!D33)</f>
        <v>IT CONTENT DEV/MULTIMEDIA 1</v>
      </c>
      <c r="C161" s="1" t="str">
        <f>'G - General Pay Plan'!A31</f>
        <v>G16</v>
      </c>
      <c r="D161" s="397" t="s">
        <v>391</v>
      </c>
      <c r="E161" s="515">
        <f>'G - General Pay Plan'!E31</f>
        <v>3644.8807855166665</v>
      </c>
      <c r="F161" s="515">
        <f>(E161+G161)/2</f>
        <v>4338.3418298583329</v>
      </c>
      <c r="G161" s="515">
        <f>'G - General Pay Plan'!G31</f>
        <v>5031.8028741999997</v>
      </c>
      <c r="H161" s="397" t="s">
        <v>711</v>
      </c>
      <c r="I161" s="440">
        <f>'G - General Pay Plan'!$H$1</f>
        <v>2017</v>
      </c>
    </row>
    <row r="162" spans="1:9" x14ac:dyDescent="0.2">
      <c r="A162" s="1" t="str">
        <f>'G - General Pay Plan'!C57</f>
        <v>ING251</v>
      </c>
      <c r="B162" t="str">
        <f>('G - General Pay Plan'!D57)</f>
        <v>IT CONTENT DEV/MULTIMEDIA 2</v>
      </c>
      <c r="C162" s="397" t="str">
        <f>'G - General Pay Plan'!A57</f>
        <v>G20</v>
      </c>
      <c r="D162" s="397" t="s">
        <v>391</v>
      </c>
      <c r="E162" s="515">
        <f>'G - General Pay Plan'!E57</f>
        <v>4444.6295598500001</v>
      </c>
      <c r="F162" s="515">
        <f>'G - General Pay Plan'!F57</f>
        <v>5289.744206233333</v>
      </c>
      <c r="G162" s="515">
        <f>'G - General Pay Plan'!G57</f>
        <v>6134.8588610999986</v>
      </c>
      <c r="H162" s="397" t="s">
        <v>710</v>
      </c>
      <c r="I162" s="440">
        <f>'G - General Pay Plan'!$H$1</f>
        <v>2017</v>
      </c>
    </row>
    <row r="163" spans="1:9" x14ac:dyDescent="0.2">
      <c r="A163" s="225" t="str">
        <f>'G - General Pay Plan'!C119</f>
        <v>ING250</v>
      </c>
      <c r="B163" t="str">
        <f>('G - General Pay Plan'!D119)</f>
        <v>IT CONTENT DEV/MULTIMEDIA 3</v>
      </c>
      <c r="C163" s="225" t="str">
        <f>'G - General Pay Plan'!A106</f>
        <v>G24</v>
      </c>
      <c r="D163" s="397" t="s">
        <v>391</v>
      </c>
      <c r="E163" s="515">
        <f>'G - General Pay Plan'!E106</f>
        <v>5421.9553019833338</v>
      </c>
      <c r="F163" s="515">
        <f>'G - General Pay Plan'!F106</f>
        <v>6451.7769118166661</v>
      </c>
      <c r="G163" s="515">
        <f>'G - General Pay Plan'!G106</f>
        <v>7481.5985301333321</v>
      </c>
      <c r="H163" s="397" t="s">
        <v>710</v>
      </c>
      <c r="I163" s="440">
        <f>'G - General Pay Plan'!$H$1</f>
        <v>2017</v>
      </c>
    </row>
    <row r="164" spans="1:9" x14ac:dyDescent="0.2">
      <c r="A164" s="226" t="str">
        <f>'G - General Pay Plan'!C174</f>
        <v>ING249</v>
      </c>
      <c r="B164" t="str">
        <f>('G - General Pay Plan'!D174)</f>
        <v>IT CONTENT DEV/MULTIMEDIA 4A</v>
      </c>
      <c r="C164" s="226" t="str">
        <f>'G - General Pay Plan'!A167</f>
        <v>G27</v>
      </c>
      <c r="D164" s="397" t="s">
        <v>391</v>
      </c>
      <c r="E164" s="515">
        <f>'G - General Pay Plan'!E167</f>
        <v>6291.6973280166667</v>
      </c>
      <c r="F164" s="515">
        <f>'G - General Pay Plan'!F167</f>
        <v>7486.7829241833342</v>
      </c>
      <c r="G164" s="515">
        <f>'G - General Pay Plan'!G167</f>
        <v>8681.8685118666672</v>
      </c>
      <c r="H164" s="397" t="s">
        <v>710</v>
      </c>
      <c r="I164" s="440">
        <f>'G - General Pay Plan'!$H$1</f>
        <v>2017</v>
      </c>
    </row>
    <row r="165" spans="1:9" x14ac:dyDescent="0.2">
      <c r="A165" s="1" t="str">
        <f>'G - General Pay Plan'!C120</f>
        <v>ING235</v>
      </c>
      <c r="B165" t="str">
        <f>('G - General Pay Plan'!D120)</f>
        <v>IT DATABASE ADMINSTRATOR 1</v>
      </c>
      <c r="C165" s="1" t="str">
        <f>'G - General Pay Plan'!A106</f>
        <v>G24</v>
      </c>
      <c r="D165" s="1" t="s">
        <v>391</v>
      </c>
      <c r="E165" s="515">
        <f>'G - General Pay Plan'!E106</f>
        <v>5421.9553019833338</v>
      </c>
      <c r="F165" s="515">
        <f>'G - General Pay Plan'!F106</f>
        <v>6451.7769118166661</v>
      </c>
      <c r="G165" s="515">
        <f>'G - General Pay Plan'!G106</f>
        <v>7481.5985301333321</v>
      </c>
      <c r="H165" s="1" t="s">
        <v>710</v>
      </c>
      <c r="I165" s="440">
        <f>'G - General Pay Plan'!$H$1</f>
        <v>2017</v>
      </c>
    </row>
    <row r="166" spans="1:9" x14ac:dyDescent="0.2">
      <c r="A166" s="241" t="str">
        <f>'G - General Pay Plan'!C202</f>
        <v>ING234</v>
      </c>
      <c r="B166" t="str">
        <f>('G - General Pay Plan'!D202)</f>
        <v>IT DATABASE ADMINSTRATOR 2</v>
      </c>
      <c r="C166" s="241" t="str">
        <f>'G - General Pay Plan'!A202</f>
        <v>G29</v>
      </c>
      <c r="D166" s="241" t="s">
        <v>391</v>
      </c>
      <c r="E166" s="515">
        <f>'G - General Pay Plan'!E202</f>
        <v>6946.2719303333333</v>
      </c>
      <c r="F166" s="515">
        <f>'G - General Pay Plan'!F202</f>
        <v>8267.0877797499998</v>
      </c>
      <c r="G166" s="515">
        <f>'G - General Pay Plan'!G202</f>
        <v>9587.9036206833334</v>
      </c>
      <c r="H166" s="241" t="s">
        <v>710</v>
      </c>
      <c r="I166" s="440">
        <f>'G - General Pay Plan'!$H$1</f>
        <v>2017</v>
      </c>
    </row>
    <row r="167" spans="1:9" x14ac:dyDescent="0.2">
      <c r="A167" s="241" t="str">
        <f>'G - General Pay Plan'!C254</f>
        <v>ING233</v>
      </c>
      <c r="B167" t="str">
        <f>('G - General Pay Plan'!D254)</f>
        <v>IT DATABASE ADMINSTRATOR 3</v>
      </c>
      <c r="C167" s="241" t="str">
        <f>'G - General Pay Plan'!A252</f>
        <v>G32</v>
      </c>
      <c r="D167" s="241" t="s">
        <v>391</v>
      </c>
      <c r="E167" s="515">
        <f>'G - General Pay Plan'!E252</f>
        <v>8062.2905354000004</v>
      </c>
      <c r="F167" s="515">
        <f>'G - General Pay Plan'!F252</f>
        <v>9593.7367013000003</v>
      </c>
      <c r="G167" s="515">
        <f>'G - General Pay Plan'!G252</f>
        <v>11125.182867199999</v>
      </c>
      <c r="H167" s="241" t="s">
        <v>710</v>
      </c>
      <c r="I167" s="440">
        <f>'G - General Pay Plan'!$H$1</f>
        <v>2017</v>
      </c>
    </row>
    <row r="168" spans="1:9" x14ac:dyDescent="0.2">
      <c r="A168" s="397" t="str">
        <f>'G - General Pay Plan'!C58</f>
        <v>ING305</v>
      </c>
      <c r="B168" t="str">
        <f>'G - General Pay Plan'!D58</f>
        <v>IT END USER SUPPORT 1</v>
      </c>
      <c r="C168" s="397" t="str">
        <f>'G - General Pay Plan'!A57</f>
        <v>G20</v>
      </c>
      <c r="D168" s="397" t="s">
        <v>391</v>
      </c>
      <c r="E168" s="515">
        <f>'G - General Pay Plan'!E57</f>
        <v>4444.6295598500001</v>
      </c>
      <c r="F168" s="515">
        <f>'G - General Pay Plan'!F57</f>
        <v>5289.744206233333</v>
      </c>
      <c r="G168" s="515">
        <f>'G - General Pay Plan'!G57</f>
        <v>6134.8588610999986</v>
      </c>
      <c r="H168" s="397" t="s">
        <v>711</v>
      </c>
      <c r="I168" s="440">
        <f>'G - General Pay Plan'!$H$1</f>
        <v>2017</v>
      </c>
    </row>
    <row r="169" spans="1:9" x14ac:dyDescent="0.2">
      <c r="A169" s="1" t="str">
        <f>'G - General Pay Plan'!C92</f>
        <v>ING304</v>
      </c>
      <c r="B169" t="str">
        <f>'G - General Pay Plan'!D92</f>
        <v>IT END USER SUPPORT 2</v>
      </c>
      <c r="C169" s="1" t="str">
        <f>'G - General Pay Plan'!A86</f>
        <v>G23</v>
      </c>
      <c r="D169" s="397" t="s">
        <v>391</v>
      </c>
      <c r="E169" s="515">
        <f>'G - General Pay Plan'!E86</f>
        <v>5158.8286342500005</v>
      </c>
      <c r="F169" s="515">
        <f>'G - General Pay Plan'!F86</f>
        <v>6138.7468067</v>
      </c>
      <c r="G169" s="515">
        <f>'G - General Pay Plan'!G86</f>
        <v>7118.6649706666658</v>
      </c>
      <c r="H169" s="397" t="s">
        <v>711</v>
      </c>
      <c r="I169" s="440">
        <f>'G - General Pay Plan'!$H$1</f>
        <v>2017</v>
      </c>
    </row>
    <row r="170" spans="1:9" x14ac:dyDescent="0.2">
      <c r="A170" s="397" t="str">
        <f>'G - General Pay Plan'!C138</f>
        <v>ING237</v>
      </c>
      <c r="B170" t="str">
        <f>'G - General Pay Plan'!D138</f>
        <v>IT END USER SUPPORT 3</v>
      </c>
      <c r="C170" s="397" t="str">
        <f>'G - General Pay Plan'!A135</f>
        <v>G25</v>
      </c>
      <c r="D170" s="397" t="s">
        <v>391</v>
      </c>
      <c r="E170" s="515">
        <f>'G - General Pay Plan'!E135</f>
        <v>5699.3391530333329</v>
      </c>
      <c r="F170" s="515">
        <f>'G - General Pay Plan'!F135</f>
        <v>6780.3601990833331</v>
      </c>
      <c r="G170" s="515">
        <f>'G - General Pay Plan'!G135</f>
        <v>7861.3812366499997</v>
      </c>
      <c r="H170" s="397" t="s">
        <v>710</v>
      </c>
      <c r="I170" s="440">
        <f>'G - General Pay Plan'!$H$1</f>
        <v>2017</v>
      </c>
    </row>
    <row r="171" spans="1:9" x14ac:dyDescent="0.2">
      <c r="A171" s="397" t="str">
        <f>'G - General Pay Plan'!C191</f>
        <v>ING236</v>
      </c>
      <c r="B171" t="str">
        <f>'G - General Pay Plan'!D191</f>
        <v>IT END USER SUPPORT 4A</v>
      </c>
      <c r="C171" s="397" t="str">
        <f>'G - General Pay Plan'!A188</f>
        <v>G28</v>
      </c>
      <c r="D171" s="397" t="s">
        <v>391</v>
      </c>
      <c r="E171" s="515">
        <f>'G - General Pay Plan'!E188</f>
        <v>6611.8555624500004</v>
      </c>
      <c r="F171" s="515">
        <f>'G - General Pay Plan'!F188</f>
        <v>7867.2138591666662</v>
      </c>
      <c r="G171" s="515">
        <f>'G - General Pay Plan'!G188</f>
        <v>9122.5721474000002</v>
      </c>
      <c r="H171" s="397" t="s">
        <v>710</v>
      </c>
      <c r="I171" s="440">
        <f>'G - General Pay Plan'!$H$1</f>
        <v>2017</v>
      </c>
    </row>
    <row r="172" spans="1:9" x14ac:dyDescent="0.2">
      <c r="A172" s="397" t="str">
        <f>'G - General Pay Plan'!C52</f>
        <v>ING506</v>
      </c>
      <c r="B172" t="str">
        <f>'G - General Pay Plan'!D52</f>
        <v>IT GEOGRAPHIC INFORMATION SYSTEMS 1</v>
      </c>
      <c r="C172" s="397" t="str">
        <f>'G - General Pay Plan'!A48</f>
        <v>G19</v>
      </c>
      <c r="D172" s="397" t="s">
        <v>391</v>
      </c>
      <c r="E172" s="515">
        <f>'G - General Pay Plan'!E48</f>
        <v>4230.7585845833337</v>
      </c>
      <c r="F172" s="515">
        <f>(E172+G172)/2</f>
        <v>5033.74707605</v>
      </c>
      <c r="G172" s="515">
        <f>'G - General Pay Plan'!G48</f>
        <v>5836.7355675166664</v>
      </c>
      <c r="H172" s="397" t="s">
        <v>711</v>
      </c>
      <c r="I172" s="440">
        <f>'G - General Pay Plan'!$H$1</f>
        <v>2017</v>
      </c>
    </row>
    <row r="173" spans="1:9" x14ac:dyDescent="0.2">
      <c r="A173" s="397" t="str">
        <f>'G - General Pay Plan'!C80</f>
        <v>ING248</v>
      </c>
      <c r="B173" t="str">
        <f>'G - General Pay Plan'!D80</f>
        <v>IT GEOGRAPHIC INFORMATION SYSTEMS 2</v>
      </c>
      <c r="C173" s="397" t="str">
        <f>'G - General Pay Plan'!A75</f>
        <v>G22</v>
      </c>
      <c r="D173" s="397" t="s">
        <v>391</v>
      </c>
      <c r="E173" s="515">
        <f>'G - General Pay Plan'!E75</f>
        <v>4909.9610331333333</v>
      </c>
      <c r="F173" s="515">
        <f>'G - General Pay Plan'!F75</f>
        <v>5843.2164100166674</v>
      </c>
      <c r="G173" s="515">
        <f>'G - General Pay Plan'!G75</f>
        <v>6776.4717869000006</v>
      </c>
      <c r="H173" s="397" t="s">
        <v>711</v>
      </c>
      <c r="I173" s="440">
        <f>'G - General Pay Plan'!$H$1</f>
        <v>2017</v>
      </c>
    </row>
    <row r="174" spans="1:9" x14ac:dyDescent="0.2">
      <c r="A174" s="397" t="str">
        <f>'G - General Pay Plan'!C159</f>
        <v>ING247</v>
      </c>
      <c r="B174" t="str">
        <f>'G - General Pay Plan'!D159</f>
        <v>IT GEOGRAPHIC INFORMATION SYSTEMS 3</v>
      </c>
      <c r="C174" s="397" t="str">
        <f>'G - General Pay Plan'!A146</f>
        <v>G26</v>
      </c>
      <c r="D174" s="397" t="s">
        <v>391</v>
      </c>
      <c r="E174" s="515">
        <f>'G - General Pay Plan'!E146</f>
        <v>5987.0927253500004</v>
      </c>
      <c r="F174" s="515">
        <f>'G - General Pay Plan'!F146</f>
        <v>7123.8498313000009</v>
      </c>
      <c r="G174" s="515">
        <f>'G - General Pay Plan'!G146</f>
        <v>8260.6069372500006</v>
      </c>
      <c r="H174" s="397" t="s">
        <v>710</v>
      </c>
      <c r="I174" s="440">
        <f>'G - General Pay Plan'!$H$1</f>
        <v>2017</v>
      </c>
    </row>
    <row r="175" spans="1:9" x14ac:dyDescent="0.2">
      <c r="A175" s="397" t="str">
        <f>'G - General Pay Plan'!C192</f>
        <v>ING246</v>
      </c>
      <c r="B175" t="str">
        <f>'G - General Pay Plan'!D192</f>
        <v>IT GEOGRAPHIC INFORMATION SYSTEMS 4A</v>
      </c>
      <c r="C175" s="397" t="str">
        <f>'G - General Pay Plan'!A188</f>
        <v>G28</v>
      </c>
      <c r="D175" s="397" t="s">
        <v>391</v>
      </c>
      <c r="E175" s="515">
        <f>'G - General Pay Plan'!E188</f>
        <v>6611.8555624500004</v>
      </c>
      <c r="F175" s="515">
        <f>'G - General Pay Plan'!F188</f>
        <v>7867.2138591666662</v>
      </c>
      <c r="G175" s="515">
        <f>'G - General Pay Plan'!G188</f>
        <v>9122.5721474000002</v>
      </c>
      <c r="H175" s="397" t="s">
        <v>710</v>
      </c>
      <c r="I175" s="440">
        <f>'G - General Pay Plan'!$H$1</f>
        <v>2017</v>
      </c>
    </row>
    <row r="176" spans="1:9" x14ac:dyDescent="0.2">
      <c r="A176" s="397" t="str">
        <f>'G - General Pay Plan'!C43</f>
        <v>ING303</v>
      </c>
      <c r="B176" t="str">
        <f>'G - General Pay Plan'!D43</f>
        <v>IT NETWORK/SYSTEM ADMINISTRATOR 1</v>
      </c>
      <c r="C176" s="397" t="str">
        <f>'G - General Pay Plan'!A43</f>
        <v>G18</v>
      </c>
      <c r="D176" s="397" t="s">
        <v>391</v>
      </c>
      <c r="E176" s="515">
        <f>'G - General Pay Plan'!E43</f>
        <v>4024.6644252000001</v>
      </c>
      <c r="F176" s="515">
        <f>(E176+G176)/2</f>
        <v>4789.4151739333338</v>
      </c>
      <c r="G176" s="515">
        <f>'G - General Pay Plan'!G43</f>
        <v>5554.165922666667</v>
      </c>
      <c r="H176" s="397" t="s">
        <v>711</v>
      </c>
      <c r="I176" s="440">
        <f>'G - General Pay Plan'!$H$1</f>
        <v>2017</v>
      </c>
    </row>
    <row r="177" spans="1:9" x14ac:dyDescent="0.2">
      <c r="A177" s="397" t="str">
        <f>'G - General Pay Plan'!C93</f>
        <v>ING232</v>
      </c>
      <c r="B177" t="str">
        <f>'G - General Pay Plan'!D93</f>
        <v>IT NETWORK/SYSTEM ADMINISTRATOR 2</v>
      </c>
      <c r="C177" s="397" t="str">
        <f>'G - General Pay Plan'!A86</f>
        <v>G23</v>
      </c>
      <c r="D177" s="397" t="s">
        <v>391</v>
      </c>
      <c r="E177" s="515">
        <f>'G - General Pay Plan'!E86</f>
        <v>5158.8286342500005</v>
      </c>
      <c r="F177" s="515">
        <f>'G - General Pay Plan'!F86</f>
        <v>6138.7468067</v>
      </c>
      <c r="G177" s="515">
        <f>'G - General Pay Plan'!G86</f>
        <v>7118.6649706666658</v>
      </c>
      <c r="H177" s="397" t="s">
        <v>710</v>
      </c>
      <c r="I177" s="440">
        <f>'G - General Pay Plan'!$H$1</f>
        <v>2017</v>
      </c>
    </row>
    <row r="178" spans="1:9" x14ac:dyDescent="0.2">
      <c r="A178" s="397" t="str">
        <f>'G - General Pay Plan'!C193</f>
        <v>ING231</v>
      </c>
      <c r="B178" t="str">
        <f>'G - General Pay Plan'!D193</f>
        <v>IT NETWORK/SYSTEM ADMINISTRATOR 3</v>
      </c>
      <c r="C178" s="397" t="str">
        <f>'G - General Pay Plan'!A188</f>
        <v>G28</v>
      </c>
      <c r="D178" s="397" t="s">
        <v>391</v>
      </c>
      <c r="E178" s="515">
        <f>'G - General Pay Plan'!E188</f>
        <v>6611.8555624500004</v>
      </c>
      <c r="F178" s="515">
        <f>'G - General Pay Plan'!F188</f>
        <v>7867.2138591666662</v>
      </c>
      <c r="G178" s="515">
        <f>'G - General Pay Plan'!G188</f>
        <v>9122.5721474000002</v>
      </c>
      <c r="H178" s="397" t="s">
        <v>710</v>
      </c>
      <c r="I178" s="440">
        <f>'G - General Pay Plan'!$H$1</f>
        <v>2017</v>
      </c>
    </row>
    <row r="179" spans="1:9" x14ac:dyDescent="0.2">
      <c r="A179" s="397" t="str">
        <f>'G - General Pay Plan'!C246</f>
        <v>ING230</v>
      </c>
      <c r="B179" s="3" t="str">
        <f>'G - General Pay Plan'!D246</f>
        <v>IT NETWORK/SYSTEM ADMINISTRATOR 4A</v>
      </c>
      <c r="C179" s="397" t="str">
        <f>'G - General Pay Plan'!A238</f>
        <v>G31</v>
      </c>
      <c r="D179" s="397" t="s">
        <v>391</v>
      </c>
      <c r="E179" s="515">
        <f>'G - General Pay Plan'!E238</f>
        <v>7672.1381076166663</v>
      </c>
      <c r="F179" s="515">
        <f>'G - General Pay Plan'!F238</f>
        <v>9129.701676466666</v>
      </c>
      <c r="G179" s="515">
        <f>'G - General Pay Plan'!G238</f>
        <v>10587.265245316668</v>
      </c>
      <c r="H179" s="397" t="s">
        <v>710</v>
      </c>
      <c r="I179" s="440">
        <f>'G - General Pay Plan'!$H$1</f>
        <v>2017</v>
      </c>
    </row>
    <row r="180" spans="1:9" x14ac:dyDescent="0.2">
      <c r="A180" s="397" t="str">
        <f>'G - General Pay Plan'!C255</f>
        <v>ING229</v>
      </c>
      <c r="B180" t="str">
        <f>'G - General Pay Plan'!D255</f>
        <v>IT NETWORK/SYSTEM ADMINISTRATOR 4B</v>
      </c>
      <c r="C180" s="397" t="str">
        <f>'G - General Pay Plan'!A252</f>
        <v>G32</v>
      </c>
      <c r="D180" s="397" t="s">
        <v>391</v>
      </c>
      <c r="E180" s="515">
        <f>'G - General Pay Plan'!E252</f>
        <v>8062.2905354000004</v>
      </c>
      <c r="F180" s="515">
        <f>'G - General Pay Plan'!F252</f>
        <v>9593.7367013000003</v>
      </c>
      <c r="G180" s="515">
        <f>'G - General Pay Plan'!G252</f>
        <v>11125.182867199999</v>
      </c>
      <c r="H180" s="397" t="s">
        <v>710</v>
      </c>
      <c r="I180" s="440">
        <f>'G - General Pay Plan'!$H$1</f>
        <v>2017</v>
      </c>
    </row>
    <row r="181" spans="1:9" x14ac:dyDescent="0.2">
      <c r="A181" s="397" t="str">
        <f>'G - General Pay Plan'!C81</f>
        <v>ING245</v>
      </c>
      <c r="B181" t="str">
        <f>'G - General Pay Plan'!D81</f>
        <v>IT PROJECT MANAGER 1</v>
      </c>
      <c r="C181" s="397" t="str">
        <f>'G - General Pay Plan'!A75</f>
        <v>G22</v>
      </c>
      <c r="D181" s="397" t="s">
        <v>391</v>
      </c>
      <c r="E181" s="515">
        <f>'G - General Pay Plan'!E75</f>
        <v>4909.9610331333333</v>
      </c>
      <c r="F181" s="515">
        <f>'G - General Pay Plan'!F75</f>
        <v>5843.2164100166674</v>
      </c>
      <c r="G181" s="515">
        <f>'G - General Pay Plan'!G75</f>
        <v>6776.4717869000006</v>
      </c>
      <c r="H181" s="397" t="s">
        <v>710</v>
      </c>
      <c r="I181" s="440">
        <f>'G - General Pay Plan'!$H$1</f>
        <v>2017</v>
      </c>
    </row>
    <row r="182" spans="1:9" x14ac:dyDescent="0.2">
      <c r="A182" s="397" t="str">
        <f>'G - General Pay Plan'!C121</f>
        <v>ING244</v>
      </c>
      <c r="B182" t="str">
        <f>'G - General Pay Plan'!D121</f>
        <v>IT PROJECT MANAGER 2</v>
      </c>
      <c r="C182" s="397" t="str">
        <f>'G - General Pay Plan'!A106</f>
        <v>G24</v>
      </c>
      <c r="D182" s="397" t="s">
        <v>391</v>
      </c>
      <c r="E182" s="515">
        <f>'G - General Pay Plan'!E106</f>
        <v>5421.9553019833338</v>
      </c>
      <c r="F182" s="515">
        <f>'G - General Pay Plan'!F106</f>
        <v>6451.7769118166661</v>
      </c>
      <c r="G182" s="515">
        <f>'G - General Pay Plan'!G106</f>
        <v>7481.5985301333321</v>
      </c>
      <c r="H182" s="397" t="s">
        <v>710</v>
      </c>
      <c r="I182" s="440">
        <f>'G - General Pay Plan'!$H$1</f>
        <v>2017</v>
      </c>
    </row>
    <row r="183" spans="1:9" x14ac:dyDescent="0.2">
      <c r="A183" s="397" t="str">
        <f>'G - General Pay Plan'!C203</f>
        <v>ING243</v>
      </c>
      <c r="B183" t="str">
        <f>'G - General Pay Plan'!D203</f>
        <v>IT PROJECT MANAGER 3</v>
      </c>
      <c r="C183" s="397" t="str">
        <f>'G - General Pay Plan'!A202</f>
        <v>G29</v>
      </c>
      <c r="D183" s="397" t="s">
        <v>391</v>
      </c>
      <c r="E183" s="515">
        <f>'G - General Pay Plan'!E202</f>
        <v>6946.2719303333333</v>
      </c>
      <c r="F183" s="515">
        <f>'G - General Pay Plan'!F202</f>
        <v>8267.0877797499998</v>
      </c>
      <c r="G183" s="515">
        <f>'G - General Pay Plan'!G202</f>
        <v>9587.9036206833334</v>
      </c>
      <c r="H183" s="397" t="s">
        <v>710</v>
      </c>
      <c r="I183" s="440">
        <f>'G - General Pay Plan'!$H$1</f>
        <v>2017</v>
      </c>
    </row>
    <row r="184" spans="1:9" x14ac:dyDescent="0.2">
      <c r="A184" s="397" t="str">
        <f>'G - General Pay Plan'!C265</f>
        <v>ING242</v>
      </c>
      <c r="B184" t="str">
        <f>'G - General Pay Plan'!D265</f>
        <v>IT PROJECT MANAGER 4A</v>
      </c>
      <c r="C184" s="397" t="str">
        <f>'G - General Pay Plan'!A261</f>
        <v>G33</v>
      </c>
      <c r="D184" s="397" t="s">
        <v>391</v>
      </c>
      <c r="E184" s="515">
        <f>'G - General Pay Plan'!E261</f>
        <v>8470.5895003333335</v>
      </c>
      <c r="F184" s="515">
        <f>'G - General Pay Plan'!F261</f>
        <v>10081.751352383333</v>
      </c>
      <c r="G184" s="515">
        <f>'G - General Pay Plan'!G261</f>
        <v>11692.913195950001</v>
      </c>
      <c r="H184" s="397" t="s">
        <v>710</v>
      </c>
      <c r="I184" s="440">
        <f>'G - General Pay Plan'!$H$1</f>
        <v>2017</v>
      </c>
    </row>
    <row r="185" spans="1:9" x14ac:dyDescent="0.2">
      <c r="A185" s="397" t="str">
        <f>'G - General Pay Plan'!C94</f>
        <v>ING228</v>
      </c>
      <c r="B185" t="str">
        <f>'G - General Pay Plan'!D94</f>
        <v>IT SYSTEMS ANALYST 1</v>
      </c>
      <c r="C185" s="397" t="str">
        <f>'G - General Pay Plan'!A86</f>
        <v>G23</v>
      </c>
      <c r="D185" s="397" t="s">
        <v>391</v>
      </c>
      <c r="E185" s="515">
        <f>'G - General Pay Plan'!E86</f>
        <v>5158.8286342500005</v>
      </c>
      <c r="F185" s="515">
        <f>'G - General Pay Plan'!F86</f>
        <v>6138.7468067</v>
      </c>
      <c r="G185" s="515">
        <f>'G - General Pay Plan'!G86</f>
        <v>7118.6649706666658</v>
      </c>
      <c r="H185" s="397" t="s">
        <v>710</v>
      </c>
      <c r="I185" s="440">
        <f>'G - General Pay Plan'!$H$1</f>
        <v>2017</v>
      </c>
    </row>
    <row r="186" spans="1:9" x14ac:dyDescent="0.2">
      <c r="A186" s="397" t="str">
        <f>'G - General Pay Plan'!C160</f>
        <v>ING227</v>
      </c>
      <c r="B186" t="str">
        <f>'G - General Pay Plan'!D160</f>
        <v>IT SYSTEMS ANALYST 2</v>
      </c>
      <c r="C186" s="397" t="str">
        <f>'G - General Pay Plan'!A146</f>
        <v>G26</v>
      </c>
      <c r="D186" s="397" t="s">
        <v>391</v>
      </c>
      <c r="E186" s="515">
        <f>'G - General Pay Plan'!E146</f>
        <v>5987.0927253500004</v>
      </c>
      <c r="F186" s="515">
        <f>'G - General Pay Plan'!F146</f>
        <v>7123.8498313000009</v>
      </c>
      <c r="G186" s="515">
        <f>'G - General Pay Plan'!G146</f>
        <v>8260.6069372500006</v>
      </c>
      <c r="H186" s="397" t="s">
        <v>710</v>
      </c>
      <c r="I186" s="440">
        <f>'G - General Pay Plan'!$H$1</f>
        <v>2017</v>
      </c>
    </row>
    <row r="187" spans="1:9" x14ac:dyDescent="0.2">
      <c r="A187" s="241" t="str">
        <f>'G - General Pay Plan'!C204</f>
        <v>ING226</v>
      </c>
      <c r="B187" t="str">
        <f>'G - General Pay Plan'!D204</f>
        <v>IT SYSTEMS ANALYST 3</v>
      </c>
      <c r="C187" s="241" t="str">
        <f>'G - General Pay Plan'!A202</f>
        <v>G29</v>
      </c>
      <c r="D187" s="397" t="s">
        <v>391</v>
      </c>
      <c r="E187" s="515">
        <f>'G - General Pay Plan'!E202</f>
        <v>6946.2719303333333</v>
      </c>
      <c r="F187" s="515">
        <f>'G - General Pay Plan'!F202</f>
        <v>8267.0877797499998</v>
      </c>
      <c r="G187" s="515">
        <f>'G - General Pay Plan'!G202</f>
        <v>9587.9036206833334</v>
      </c>
      <c r="H187" s="397" t="s">
        <v>710</v>
      </c>
      <c r="I187" s="440">
        <f>'G - General Pay Plan'!$H$1</f>
        <v>2017</v>
      </c>
    </row>
    <row r="188" spans="1:9" x14ac:dyDescent="0.2">
      <c r="A188" s="241" t="str">
        <f>'G - General Pay Plan'!C227</f>
        <v>ING225</v>
      </c>
      <c r="B188" t="str">
        <f>'G - General Pay Plan'!D227</f>
        <v>IT SYSTEMS ANALYST 4A</v>
      </c>
      <c r="C188" s="241" t="str">
        <f>'G - General Pay Plan'!A212</f>
        <v>G30</v>
      </c>
      <c r="D188" s="397" t="s">
        <v>391</v>
      </c>
      <c r="E188" s="515">
        <f>'G - General Pay Plan'!E212</f>
        <v>7301.4277322666667</v>
      </c>
      <c r="F188" s="515">
        <f>'G - General Pay Plan'!F212</f>
        <v>8687.7011343833346</v>
      </c>
      <c r="G188" s="515">
        <f>'G - General Pay Plan'!G212</f>
        <v>10073.974528016666</v>
      </c>
      <c r="H188" s="397" t="s">
        <v>710</v>
      </c>
      <c r="I188" s="440">
        <f>'G - General Pay Plan'!$H$1</f>
        <v>2017</v>
      </c>
    </row>
    <row r="189" spans="1:9" x14ac:dyDescent="0.2">
      <c r="A189" s="241" t="str">
        <f>'G - General Pay Plan'!C266</f>
        <v>ING224</v>
      </c>
      <c r="B189" t="str">
        <f>'G - General Pay Plan'!D266</f>
        <v>IT SYSTEMS ANALYST 4B</v>
      </c>
      <c r="C189" s="241" t="str">
        <f>'G - General Pay Plan'!A261</f>
        <v>G33</v>
      </c>
      <c r="D189" s="397" t="s">
        <v>391</v>
      </c>
      <c r="E189" s="515">
        <f>'G - General Pay Plan'!E261</f>
        <v>8470.5895003333335</v>
      </c>
      <c r="F189" s="515">
        <f>'G - General Pay Plan'!F261</f>
        <v>10081.751352383333</v>
      </c>
      <c r="G189" s="515">
        <f>'G - General Pay Plan'!G261</f>
        <v>11692.913195950001</v>
      </c>
      <c r="H189" s="397" t="s">
        <v>710</v>
      </c>
      <c r="I189" s="440">
        <f>'G - General Pay Plan'!$H$1</f>
        <v>2017</v>
      </c>
    </row>
    <row r="190" spans="1:9" s="3" customFormat="1" x14ac:dyDescent="0.2">
      <c r="A190" s="397" t="str">
        <f>'G - General Pay Plan'!C59</f>
        <v>ING504</v>
      </c>
      <c r="B190" t="str">
        <f>'G - General Pay Plan'!D59</f>
        <v>IT TRAINER 1</v>
      </c>
      <c r="C190" s="397" t="str">
        <f>'G - General Pay Plan'!A57</f>
        <v>G20</v>
      </c>
      <c r="D190" s="397" t="s">
        <v>391</v>
      </c>
      <c r="E190" s="515">
        <f>'G - General Pay Plan'!E57</f>
        <v>4444.6295598500001</v>
      </c>
      <c r="F190" s="515">
        <f>'G - General Pay Plan'!F57</f>
        <v>5289.744206233333</v>
      </c>
      <c r="G190" s="515">
        <f>'G - General Pay Plan'!G57</f>
        <v>6134.8588610999986</v>
      </c>
      <c r="H190" s="397" t="s">
        <v>711</v>
      </c>
      <c r="I190" s="440">
        <f>'G - General Pay Plan'!$H$1</f>
        <v>2017</v>
      </c>
    </row>
    <row r="191" spans="1:9" s="3" customFormat="1" ht="13.5" customHeight="1" x14ac:dyDescent="0.2">
      <c r="A191" s="397" t="str">
        <f>'G - General Pay Plan'!C95</f>
        <v>ING239</v>
      </c>
      <c r="B191" t="str">
        <f>'G - General Pay Plan'!D95</f>
        <v>IT TRAINER 2</v>
      </c>
      <c r="C191" s="397" t="str">
        <f>'G - General Pay Plan'!A86</f>
        <v>G23</v>
      </c>
      <c r="D191" s="397" t="s">
        <v>391</v>
      </c>
      <c r="E191" s="515">
        <f>'G - General Pay Plan'!E86</f>
        <v>5158.8286342500005</v>
      </c>
      <c r="F191" s="515">
        <f>'G - General Pay Plan'!F86</f>
        <v>6138.7468067</v>
      </c>
      <c r="G191" s="515">
        <f>'G - General Pay Plan'!G86</f>
        <v>7118.6649706666658</v>
      </c>
      <c r="H191" s="397" t="s">
        <v>710</v>
      </c>
      <c r="I191" s="440">
        <f>'G - General Pay Plan'!$H$1</f>
        <v>2017</v>
      </c>
    </row>
    <row r="192" spans="1:9" s="3" customFormat="1" x14ac:dyDescent="0.2">
      <c r="A192" s="397" t="str">
        <f>'G - General Pay Plan'!C139</f>
        <v>ING238</v>
      </c>
      <c r="B192" t="str">
        <f>'G - General Pay Plan'!D139</f>
        <v>IT TRAINER 3</v>
      </c>
      <c r="C192" s="397" t="str">
        <f>'G - General Pay Plan'!A135</f>
        <v>G25</v>
      </c>
      <c r="D192" s="397" t="s">
        <v>391</v>
      </c>
      <c r="E192" s="515">
        <f>'G - General Pay Plan'!E135</f>
        <v>5699.3391530333329</v>
      </c>
      <c r="F192" s="515">
        <f>'G - General Pay Plan'!F135</f>
        <v>6780.3601990833331</v>
      </c>
      <c r="G192" s="515">
        <f>'G - General Pay Plan'!G135</f>
        <v>7861.3812366499997</v>
      </c>
      <c r="H192" s="397" t="s">
        <v>710</v>
      </c>
      <c r="I192" s="440">
        <f>'G - General Pay Plan'!$H$1</f>
        <v>2017</v>
      </c>
    </row>
    <row r="193" spans="1:9" s="3" customFormat="1" x14ac:dyDescent="0.2">
      <c r="A193" s="242" t="str">
        <f>'B- Parks,Util,Civic Svc (rep)'!B52</f>
        <v>MRB705</v>
      </c>
      <c r="B193" s="4" t="str">
        <f>'B- Parks,Util,Civic Svc (rep)'!C52</f>
        <v>LEAD MECHANICAL SVCS TECH</v>
      </c>
      <c r="C193" s="242" t="str">
        <f>'B- Parks,Util,Civic Svc (rep)'!A51</f>
        <v>B34</v>
      </c>
      <c r="D193" s="242">
        <v>6</v>
      </c>
      <c r="E193" s="517">
        <f>'B- Parks,Util,Civic Svc (rep)'!D51</f>
        <v>5273.2237120000009</v>
      </c>
      <c r="F193" s="517">
        <f>(E193+G193)/2</f>
        <v>5948.0599840000014</v>
      </c>
      <c r="G193" s="517">
        <f>'B- Parks,Util,Civic Svc (rep)'!I51</f>
        <v>6622.8962560000009</v>
      </c>
      <c r="H193" s="242" t="s">
        <v>711</v>
      </c>
      <c r="I193" s="439">
        <f>'B- Parks,Util,Civic Svc (rep)'!$K$1</f>
        <v>2017</v>
      </c>
    </row>
    <row r="194" spans="1:9" s="3" customFormat="1" x14ac:dyDescent="0.2">
      <c r="A194" s="397" t="str">
        <f>'D- Police Support (rep)'!B8</f>
        <v>PRD625</v>
      </c>
      <c r="B194" t="str">
        <f>'D- Police Support (rep)'!C8</f>
        <v>LEAD POLICE  DATA QUALITY SPCLST</v>
      </c>
      <c r="C194" s="397" t="str">
        <f>'D- Police Support (rep)'!A7</f>
        <v>D21</v>
      </c>
      <c r="D194" s="242">
        <v>6</v>
      </c>
      <c r="E194" s="536">
        <f>'D- Police Support (rep)'!D7</f>
        <v>3849.27</v>
      </c>
      <c r="F194" s="518">
        <f>(E194+G194)/2</f>
        <v>4383.1850000000004</v>
      </c>
      <c r="G194" s="536">
        <f>'D- Police Support (rep)'!I7</f>
        <v>4917.1000000000004</v>
      </c>
      <c r="H194" s="242" t="s">
        <v>711</v>
      </c>
      <c r="I194" s="437">
        <f>'D- Police Support (rep)'!$J$1</f>
        <v>2017</v>
      </c>
    </row>
    <row r="195" spans="1:9" s="3" customFormat="1" x14ac:dyDescent="0.2">
      <c r="A195" s="397" t="str">
        <f>'D- Police Support (rep)'!B27</f>
        <v>PRD610</v>
      </c>
      <c r="B195" t="str">
        <f>'D- Police Support (rep)'!C27</f>
        <v>LEAD POLICE SUPPORT SPECIALIST</v>
      </c>
      <c r="C195" s="397" t="str">
        <f>'D- Police Support (rep)'!A27</f>
        <v>D25</v>
      </c>
      <c r="D195" s="242">
        <v>1</v>
      </c>
      <c r="E195" s="520" t="s">
        <v>1001</v>
      </c>
      <c r="F195" s="518" t="s">
        <v>1001</v>
      </c>
      <c r="G195" s="534">
        <f>'D- Police Support (rep)'!I27</f>
        <v>5531.74</v>
      </c>
      <c r="H195" s="242" t="s">
        <v>711</v>
      </c>
      <c r="I195" s="437">
        <f>'D- Police Support (rep)'!$J$1</f>
        <v>2017</v>
      </c>
    </row>
    <row r="196" spans="1:9" s="3" customFormat="1" x14ac:dyDescent="0.2">
      <c r="A196" s="242" t="str">
        <f>'B- Parks,Util,Civic Svc (rep)'!B35</f>
        <v>MRB702</v>
      </c>
      <c r="B196" s="4" t="str">
        <f>'B- Parks,Util,Civic Svc (rep)'!C35</f>
        <v>LEAD WORKER</v>
      </c>
      <c r="C196" s="242" t="str">
        <f>'B- Parks,Util,Civic Svc (rep)'!A35</f>
        <v>B32</v>
      </c>
      <c r="D196" s="242">
        <v>6</v>
      </c>
      <c r="E196" s="517">
        <f>'B- Parks,Util,Civic Svc (rep)'!D35</f>
        <v>4777.7111940000004</v>
      </c>
      <c r="F196" s="517">
        <f>(E196+G196)/2</f>
        <v>5392.9837770000004</v>
      </c>
      <c r="G196" s="517">
        <f>'B- Parks,Util,Civic Svc (rep)'!I35</f>
        <v>6008.2563600000003</v>
      </c>
      <c r="H196" s="242" t="s">
        <v>711</v>
      </c>
      <c r="I196" s="439">
        <f>'B- Parks,Util,Civic Svc (rep)'!$K$1</f>
        <v>2017</v>
      </c>
    </row>
    <row r="197" spans="1:9" s="3" customFormat="1" x14ac:dyDescent="0.2">
      <c r="A197" s="242" t="str">
        <f>'B- Parks,Util,Civic Svc (rep)'!B43</f>
        <v>MRB710</v>
      </c>
      <c r="B197" s="4" t="str">
        <f>'B- Parks,Util,Civic Svc (rep)'!C43</f>
        <v>LEAD WORKER - PROGRAMS</v>
      </c>
      <c r="C197" s="242" t="str">
        <f>'B- Parks,Util,Civic Svc (rep)'!A43</f>
        <v>B41</v>
      </c>
      <c r="D197" s="242">
        <v>6</v>
      </c>
      <c r="E197" s="517">
        <f>'B- Parks,Util,Civic Svc (rep)'!D43</f>
        <v>4937.3906020000004</v>
      </c>
      <c r="F197" s="517">
        <f>(E197+G197)/2</f>
        <v>5562.8019560000002</v>
      </c>
      <c r="G197" s="517">
        <f>'B- Parks,Util,Civic Svc (rep)'!I43</f>
        <v>6188.2133100000001</v>
      </c>
      <c r="H197" s="242" t="s">
        <v>711</v>
      </c>
      <c r="I197" s="439">
        <f>'B- Parks,Util,Civic Svc (rep)'!$K$1</f>
        <v>2017</v>
      </c>
    </row>
    <row r="198" spans="1:9" s="3" customFormat="1" x14ac:dyDescent="0.2">
      <c r="A198" s="242" t="str">
        <f>'G - General Pay Plan'!C53</f>
        <v>LNG601</v>
      </c>
      <c r="B198" t="str">
        <f>'G - General Pay Plan'!D53</f>
        <v xml:space="preserve">LEGAL SECRETARY </v>
      </c>
      <c r="C198" s="242" t="str">
        <f>'G - General Pay Plan'!A48</f>
        <v>G19</v>
      </c>
      <c r="D198" s="242" t="s">
        <v>391</v>
      </c>
      <c r="E198" s="516">
        <f>'G - General Pay Plan'!E48</f>
        <v>4230.7585845833337</v>
      </c>
      <c r="F198" s="515">
        <f>(E198+G198)/2</f>
        <v>5033.74707605</v>
      </c>
      <c r="G198" s="516">
        <f>'G - General Pay Plan'!G48</f>
        <v>5836.7355675166664</v>
      </c>
      <c r="H198" s="242" t="s">
        <v>711</v>
      </c>
      <c r="I198" s="440">
        <f>'G - General Pay Plan'!$H$1</f>
        <v>2017</v>
      </c>
    </row>
    <row r="199" spans="1:9" s="3" customFormat="1" x14ac:dyDescent="0.2">
      <c r="A199" s="242" t="str">
        <f>'G - General Pay Plan'!C96</f>
        <v>LNG207</v>
      </c>
      <c r="B199" t="str">
        <f>'G - General Pay Plan'!D96</f>
        <v>LITIGATION SUPPORT SUPERVISOR</v>
      </c>
      <c r="C199" s="242" t="str">
        <f>'G - General Pay Plan'!A86</f>
        <v>G23</v>
      </c>
      <c r="D199" s="242" t="s">
        <v>391</v>
      </c>
      <c r="E199" s="516">
        <f>'G - General Pay Plan'!E86</f>
        <v>5158.8286342500005</v>
      </c>
      <c r="F199" s="516">
        <f>'G - General Pay Plan'!F86</f>
        <v>6138.7468067</v>
      </c>
      <c r="G199" s="516">
        <f>'G - General Pay Plan'!G86</f>
        <v>7118.6649706666658</v>
      </c>
      <c r="H199" s="242" t="s">
        <v>710</v>
      </c>
      <c r="I199" s="440">
        <f>'G - General Pay Plan'!$H$1</f>
        <v>2017</v>
      </c>
    </row>
    <row r="200" spans="1:9" s="3" customFormat="1" x14ac:dyDescent="0.2">
      <c r="A200" s="242" t="str">
        <f>'A- Maint (rep)'!B3</f>
        <v>MMG802</v>
      </c>
      <c r="B200" t="str">
        <f>'A- Maint (rep)'!C3</f>
        <v>MAINTENANCE AIDE 1 - PBM</v>
      </c>
      <c r="C200" s="242" t="str">
        <f>'A- Maint (rep)'!A3</f>
        <v>A01</v>
      </c>
      <c r="D200" s="242">
        <v>6</v>
      </c>
      <c r="E200" s="517">
        <f>'A- Maint (rep)'!D3</f>
        <v>14.557400000000001</v>
      </c>
      <c r="F200" s="517">
        <f t="shared" ref="F200:F206" si="1">(E200+G200)/2</f>
        <v>17.326360000000001</v>
      </c>
      <c r="G200" s="517">
        <f>'A- Maint (rep)'!I3</f>
        <v>20.095319999999997</v>
      </c>
      <c r="H200" s="242" t="s">
        <v>711</v>
      </c>
      <c r="I200" s="440">
        <f>'A- Maint (rep)'!$J$1</f>
        <v>2017</v>
      </c>
    </row>
    <row r="201" spans="1:9" s="3" customFormat="1" x14ac:dyDescent="0.2">
      <c r="A201" s="242" t="str">
        <f>'A- Maint (rep)'!B4</f>
        <v>MPG802</v>
      </c>
      <c r="B201" t="str">
        <f>'A- Maint (rep)'!C4</f>
        <v>MAINTENANCE AIDE 1 - PBP</v>
      </c>
      <c r="C201" s="242" t="str">
        <f>'A- Maint (rep)'!A3</f>
        <v>A01</v>
      </c>
      <c r="D201" s="242">
        <v>6</v>
      </c>
      <c r="E201" s="517">
        <f>'A- Maint (rep)'!D3</f>
        <v>14.557400000000001</v>
      </c>
      <c r="F201" s="517">
        <f t="shared" si="1"/>
        <v>17.326360000000001</v>
      </c>
      <c r="G201" s="517">
        <f>'A- Maint (rep)'!I3</f>
        <v>20.095319999999997</v>
      </c>
      <c r="H201" s="242" t="s">
        <v>711</v>
      </c>
      <c r="I201" s="440">
        <f>'A- Maint (rep)'!$J$1</f>
        <v>2017</v>
      </c>
    </row>
    <row r="202" spans="1:9" s="3" customFormat="1" x14ac:dyDescent="0.2">
      <c r="A202" s="242" t="str">
        <f>'B- Parks,Util,Civic Svc (rep)'!B3</f>
        <v>MRB807</v>
      </c>
      <c r="B202" s="4" t="str">
        <f>'B- Parks,Util,Civic Svc (rep)'!C3</f>
        <v>MAINTENANCE AIDE 1-LTE
Limited Term Employee</v>
      </c>
      <c r="C202" s="242" t="str">
        <f>'B- Parks,Util,Civic Svc (rep)'!A3</f>
        <v>B43</v>
      </c>
      <c r="D202" s="242">
        <v>6</v>
      </c>
      <c r="E202" s="517">
        <f>'B- Parks,Util,Civic Svc (rep)'!D3</f>
        <v>2523.282666666667</v>
      </c>
      <c r="F202" s="517">
        <f t="shared" si="1"/>
        <v>3003.235733333333</v>
      </c>
      <c r="G202" s="517">
        <f>'B- Parks,Util,Civic Svc (rep)'!I3</f>
        <v>3483.1887999999994</v>
      </c>
      <c r="H202" s="242" t="s">
        <v>711</v>
      </c>
      <c r="I202" s="439">
        <f>'B- Parks,Util,Civic Svc (rep)'!$K$1</f>
        <v>2017</v>
      </c>
    </row>
    <row r="203" spans="1:9" x14ac:dyDescent="0.2">
      <c r="A203" s="242" t="str">
        <f>'A- Maint (rep)'!B6</f>
        <v>MMG804</v>
      </c>
      <c r="B203" t="str">
        <f>'A- Maint (rep)'!C6</f>
        <v>MAINTENANCE AIDE 2 - PBM</v>
      </c>
      <c r="C203" s="242" t="str">
        <f>'A- Maint (rep)'!A6</f>
        <v>A02</v>
      </c>
      <c r="D203" s="242">
        <v>6</v>
      </c>
      <c r="E203" s="517">
        <f>'A- Maint (rep)'!D6</f>
        <v>17.743739999999999</v>
      </c>
      <c r="F203" s="517">
        <f t="shared" si="1"/>
        <v>21.1235</v>
      </c>
      <c r="G203" s="517">
        <f>'A- Maint (rep)'!I6</f>
        <v>24.503260000000001</v>
      </c>
      <c r="H203" s="242" t="s">
        <v>711</v>
      </c>
      <c r="I203" s="440">
        <f>'A- Maint (rep)'!$J$1</f>
        <v>2017</v>
      </c>
    </row>
    <row r="204" spans="1:9" s="3" customFormat="1" x14ac:dyDescent="0.2">
      <c r="A204" s="242" t="str">
        <f>'A- Maint (rep)'!B7</f>
        <v>MPG804</v>
      </c>
      <c r="B204" t="str">
        <f>'A- Maint (rep)'!C7</f>
        <v>MAINTENANCE AIDE 2 - PBP</v>
      </c>
      <c r="C204" s="242" t="str">
        <f>'A- Maint (rep)'!A6</f>
        <v>A02</v>
      </c>
      <c r="D204" s="242">
        <v>6</v>
      </c>
      <c r="E204" s="517">
        <f>'A- Maint (rep)'!D6</f>
        <v>17.743739999999999</v>
      </c>
      <c r="F204" s="517">
        <f t="shared" si="1"/>
        <v>21.1235</v>
      </c>
      <c r="G204" s="517">
        <f>'A- Maint (rep)'!I6</f>
        <v>24.503260000000001</v>
      </c>
      <c r="H204" s="242" t="s">
        <v>711</v>
      </c>
      <c r="I204" s="440">
        <f>'A- Maint (rep)'!$J$1</f>
        <v>2017</v>
      </c>
    </row>
    <row r="205" spans="1:9" s="3" customFormat="1" x14ac:dyDescent="0.2">
      <c r="A205" s="242" t="str">
        <f>'B- Parks,Util,Civic Svc (rep)'!B11</f>
        <v>MRB808</v>
      </c>
      <c r="B205" s="4" t="str">
        <f>'B- Parks,Util,Civic Svc (rep)'!C11</f>
        <v>MAINTENANCE AIDE 2-LTE
Limited Term Employee</v>
      </c>
      <c r="C205" s="242" t="str">
        <f>'B- Parks,Util,Civic Svc (rep)'!A11</f>
        <v>B44</v>
      </c>
      <c r="D205" s="242">
        <v>6</v>
      </c>
      <c r="E205" s="517">
        <f>'B- Parks,Util,Civic Svc (rep)'!D11</f>
        <v>3075.5815999999995</v>
      </c>
      <c r="F205" s="517">
        <f t="shared" si="1"/>
        <v>3661.4066666666663</v>
      </c>
      <c r="G205" s="517">
        <f>'B- Parks,Util,Civic Svc (rep)'!I11</f>
        <v>4247.2317333333331</v>
      </c>
      <c r="H205" s="242" t="s">
        <v>711</v>
      </c>
      <c r="I205" s="439">
        <f>'B- Parks,Util,Civic Svc (rep)'!$K$1</f>
        <v>2017</v>
      </c>
    </row>
    <row r="206" spans="1:9" x14ac:dyDescent="0.2">
      <c r="A206" s="242" t="str">
        <f>'B- Parks,Util,Civic Svc (rep)'!B20</f>
        <v>MRB804</v>
      </c>
      <c r="B206" s="4" t="str">
        <f>'B- Parks,Util,Civic Svc (rep)'!C20</f>
        <v>MAINTENANCE WORKER</v>
      </c>
      <c r="C206" s="242" t="str">
        <f>'B- Parks,Util,Civic Svc (rep)'!A19</f>
        <v>B30</v>
      </c>
      <c r="D206" s="242">
        <v>6</v>
      </c>
      <c r="E206" s="517">
        <f>'B- Parks,Util,Civic Svc (rep)'!D19</f>
        <v>3899.4734319999998</v>
      </c>
      <c r="F206" s="517">
        <f t="shared" si="1"/>
        <v>4399.4223940000002</v>
      </c>
      <c r="G206" s="517">
        <f>'B- Parks,Util,Civic Svc (rep)'!I19</f>
        <v>4899.3713560000006</v>
      </c>
      <c r="H206" s="242" t="s">
        <v>711</v>
      </c>
      <c r="I206" s="439">
        <f>'B- Parks,Util,Civic Svc (rep)'!$K$1</f>
        <v>2017</v>
      </c>
    </row>
    <row r="207" spans="1:9" s="3" customFormat="1" x14ac:dyDescent="0.2">
      <c r="A207" s="397" t="str">
        <f>'G - General Pay Plan'!C175</f>
        <v>ANG214</v>
      </c>
      <c r="B207" t="str">
        <f>'G - General Pay Plan'!D175</f>
        <v>MANAGEMENT ASST TO THE DIRECTOR</v>
      </c>
      <c r="C207" s="397" t="str">
        <f>'G - General Pay Plan'!A167</f>
        <v>G27</v>
      </c>
      <c r="D207" s="397" t="s">
        <v>391</v>
      </c>
      <c r="E207" s="515">
        <f>'G - General Pay Plan'!E167</f>
        <v>6291.6973280166667</v>
      </c>
      <c r="F207" s="515">
        <f>'G - General Pay Plan'!F167</f>
        <v>7486.7829241833342</v>
      </c>
      <c r="G207" s="515">
        <f>'G - General Pay Plan'!G167</f>
        <v>8681.8685118666672</v>
      </c>
      <c r="H207" s="397" t="s">
        <v>710</v>
      </c>
      <c r="I207" s="440">
        <f>'G - General Pay Plan'!$H$1</f>
        <v>2017</v>
      </c>
    </row>
    <row r="208" spans="1:9" s="3" customFormat="1" x14ac:dyDescent="0.2">
      <c r="A208" s="397" t="str">
        <f>'G - General Pay Plan'!C34</f>
        <v>ANG220</v>
      </c>
      <c r="B208" s="58" t="str">
        <f>'G - General Pay Plan'!D34</f>
        <v>MANAGEMENT FELLOW</v>
      </c>
      <c r="C208" s="397" t="str">
        <f>'G - General Pay Plan'!A31</f>
        <v>G16</v>
      </c>
      <c r="D208" s="44" t="s">
        <v>391</v>
      </c>
      <c r="E208" s="515">
        <f>'G - General Pay Plan'!E31</f>
        <v>3644.8807855166665</v>
      </c>
      <c r="F208" s="516">
        <f>(E208+G208)/2</f>
        <v>4338.3418298583329</v>
      </c>
      <c r="G208" s="515">
        <f>'G - General Pay Plan'!G31</f>
        <v>5031.8028741999997</v>
      </c>
      <c r="H208" s="44" t="s">
        <v>711</v>
      </c>
      <c r="I208" s="440">
        <f>'G - General Pay Plan'!$H$1</f>
        <v>2017</v>
      </c>
    </row>
    <row r="209" spans="1:9" s="3" customFormat="1" x14ac:dyDescent="0.2">
      <c r="A209" s="73" t="str">
        <f>'I -Signals &amp; Electronics (rep)'!B19</f>
        <v>MRI304</v>
      </c>
      <c r="B209" t="str">
        <f>'I -Signals &amp; Electronics (rep)'!C19</f>
        <v>MASTER ELECTRONICS TECHNICIAN</v>
      </c>
      <c r="C209" s="73" t="str">
        <f>'I -Signals &amp; Electronics (rep)'!A19</f>
        <v>I05</v>
      </c>
      <c r="D209" s="73">
        <v>4</v>
      </c>
      <c r="E209" s="74">
        <f>'I -Signals &amp; Electronics (rep)'!F19</f>
        <v>6838.9594128266681</v>
      </c>
      <c r="F209" s="74">
        <f>(E209+G209)/2</f>
        <v>7378.6105241333344</v>
      </c>
      <c r="G209" s="74">
        <f>'I -Signals &amp; Electronics (rep)'!I19</f>
        <v>7918.2616354400006</v>
      </c>
      <c r="H209" s="73" t="s">
        <v>711</v>
      </c>
      <c r="I209" s="439">
        <f>'I -Signals &amp; Electronics (rep)'!J1</f>
        <v>2017</v>
      </c>
    </row>
    <row r="210" spans="1:9" x14ac:dyDescent="0.2">
      <c r="A210" s="73" t="str">
        <f>'I -Signals &amp; Electronics (rep)'!B20</f>
        <v>MRI305</v>
      </c>
      <c r="B210" t="str">
        <f>'I -Signals &amp; Electronics (rep)'!C20</f>
        <v>MASTER SIGNAL ELECTRICIAN</v>
      </c>
      <c r="C210" s="73" t="str">
        <f>'I -Signals &amp; Electronics (rep)'!A19</f>
        <v>I05</v>
      </c>
      <c r="D210" s="73">
        <v>4</v>
      </c>
      <c r="E210" s="74">
        <f>'I -Signals &amp; Electronics (rep)'!F19</f>
        <v>6838.9594128266681</v>
      </c>
      <c r="F210" s="74">
        <f>(E210+G210)/2</f>
        <v>7378.6105241333344</v>
      </c>
      <c r="G210" s="74">
        <f>'I -Signals &amp; Electronics (rep)'!I19</f>
        <v>7918.2616354400006</v>
      </c>
      <c r="H210" s="73" t="s">
        <v>711</v>
      </c>
      <c r="I210" s="439">
        <f>'I -Signals &amp; Electronics (rep)'!J1</f>
        <v>2017</v>
      </c>
    </row>
    <row r="211" spans="1:9" x14ac:dyDescent="0.2">
      <c r="A211" s="397" t="str">
        <f>'C- City Council exp 1-6-17'!C9</f>
        <v>CNC103</v>
      </c>
      <c r="B211" t="str">
        <f>'C- City Council exp 1-6-17'!D9</f>
        <v>MAYOR</v>
      </c>
      <c r="C211" s="397" t="str">
        <f>'C- City Council exp 1-6-17'!A9</f>
        <v>C03</v>
      </c>
      <c r="D211" s="397" t="s">
        <v>391</v>
      </c>
      <c r="E211" s="515" t="s">
        <v>707</v>
      </c>
      <c r="F211" s="515" t="s">
        <v>707</v>
      </c>
      <c r="G211" s="515">
        <f>'C- City Council eff 1-7-17'!E9</f>
        <v>2829</v>
      </c>
      <c r="H211" s="397" t="s">
        <v>710</v>
      </c>
      <c r="I211" s="439">
        <f>'C- City Council exp 1-6-17'!$F$1</f>
        <v>2017</v>
      </c>
    </row>
    <row r="212" spans="1:9" x14ac:dyDescent="0.2">
      <c r="A212" s="242" t="str">
        <f>'B- Parks,Util,Civic Svc (rep)'!B37</f>
        <v>MRB703</v>
      </c>
      <c r="B212" s="4" t="str">
        <f>'B- Parks,Util,Civic Svc (rep)'!C37</f>
        <v>MECHANICAL SERVICES TECH</v>
      </c>
      <c r="C212" s="242" t="str">
        <f>'B- Parks,Util,Civic Svc (rep)'!A35</f>
        <v>B32</v>
      </c>
      <c r="D212" s="242">
        <v>6</v>
      </c>
      <c r="E212" s="517">
        <f>'B- Parks,Util,Civic Svc (rep)'!D35</f>
        <v>4777.7111940000004</v>
      </c>
      <c r="F212" s="517">
        <f>(E212+G212)/2</f>
        <v>5392.9837770000004</v>
      </c>
      <c r="G212" s="517">
        <f>'B- Parks,Util,Civic Svc (rep)'!I35</f>
        <v>6008.2563600000003</v>
      </c>
      <c r="H212" s="242" t="s">
        <v>711</v>
      </c>
      <c r="I212" s="439">
        <f>'B- Parks,Util,Civic Svc (rep)'!$K$1</f>
        <v>2017</v>
      </c>
    </row>
    <row r="213" spans="1:9" x14ac:dyDescent="0.2">
      <c r="A213" s="242" t="str">
        <f>'B- Parks,Util,Civic Svc (rep)'!B23</f>
        <v>MRB805</v>
      </c>
      <c r="B213" s="4" t="str">
        <f>'B- Parks,Util,Civic Svc (rep)'!C23</f>
        <v>METER READER</v>
      </c>
      <c r="C213" s="242" t="str">
        <f>'B- Parks,Util,Civic Svc (rep)'!A23</f>
        <v>B40</v>
      </c>
      <c r="D213" s="242">
        <v>6</v>
      </c>
      <c r="E213" s="517">
        <f>'B- Parks,Util,Civic Svc (rep)'!D23</f>
        <v>3937.4926780000001</v>
      </c>
      <c r="F213" s="517">
        <f>(E213+G213)/2</f>
        <v>4441.877066</v>
      </c>
      <c r="G213" s="517">
        <f>'B- Parks,Util,Civic Svc (rep)'!I23</f>
        <v>4946.2614540000004</v>
      </c>
      <c r="H213" s="242" t="s">
        <v>711</v>
      </c>
      <c r="I213" s="439">
        <f>'B- Parks,Util,Civic Svc (rep)'!$K$1</f>
        <v>2017</v>
      </c>
    </row>
    <row r="214" spans="1:9" x14ac:dyDescent="0.2">
      <c r="A214" s="242" t="str">
        <f>'B- Parks,Util,Civic Svc (rep)'!B27</f>
        <v>MRB806</v>
      </c>
      <c r="B214" s="4" t="str">
        <f>'B- Parks,Util,Civic Svc (rep)'!C27</f>
        <v>METER REPAIR SPECIALIST</v>
      </c>
      <c r="C214" s="242" t="str">
        <f>'B- Parks,Util,Civic Svc (rep)'!A27</f>
        <v>B31</v>
      </c>
      <c r="D214" s="242">
        <v>6</v>
      </c>
      <c r="E214" s="517">
        <f>'B- Parks,Util,Civic Svc (rep)'!D27</f>
        <v>4383.8823560000001</v>
      </c>
      <c r="F214" s="517">
        <f>(E214+G214)/2</f>
        <v>4946.7308599999997</v>
      </c>
      <c r="G214" s="517">
        <f>'B- Parks,Util,Civic Svc (rep)'!I27</f>
        <v>5509.5793640000002</v>
      </c>
      <c r="H214" s="242" t="s">
        <v>711</v>
      </c>
      <c r="I214" s="439">
        <f>'B- Parks,Util,Civic Svc (rep)'!$K$1</f>
        <v>2017</v>
      </c>
    </row>
    <row r="215" spans="1:9" x14ac:dyDescent="0.2">
      <c r="A215" s="397" t="str">
        <f>'G - General Pay Plan'!C176</f>
        <v>GNG209</v>
      </c>
      <c r="B215" t="str">
        <f>'G - General Pay Plan'!D176</f>
        <v>NEIGHBOORHOOD PROGRAM MANAGER</v>
      </c>
      <c r="C215" s="397" t="str">
        <f>'G - General Pay Plan'!A167</f>
        <v>G27</v>
      </c>
      <c r="D215" s="397" t="s">
        <v>391</v>
      </c>
      <c r="E215" s="515">
        <f>'G - General Pay Plan'!E167</f>
        <v>6291.6973280166667</v>
      </c>
      <c r="F215" s="515">
        <f>'G - General Pay Plan'!F167</f>
        <v>7486.7829241833342</v>
      </c>
      <c r="G215" s="515">
        <f>'G - General Pay Plan'!G167</f>
        <v>8681.8685118666672</v>
      </c>
      <c r="H215" s="397" t="s">
        <v>710</v>
      </c>
      <c r="I215" s="440">
        <f>'G - General Pay Plan'!$H$1</f>
        <v>2017</v>
      </c>
    </row>
    <row r="216" spans="1:9" x14ac:dyDescent="0.2">
      <c r="A216" s="397" t="str">
        <f>'G - General Pay Plan'!C256</f>
        <v>ENG213</v>
      </c>
      <c r="B216" t="str">
        <f>'G - General Pay Plan'!D256</f>
        <v>NEIGHBORHOOD TRANSPORTATION SVC MGR</v>
      </c>
      <c r="C216" s="397" t="str">
        <f>'G - General Pay Plan'!A252</f>
        <v>G32</v>
      </c>
      <c r="D216" s="397" t="s">
        <v>391</v>
      </c>
      <c r="E216" s="515">
        <f>'G - General Pay Plan'!E252</f>
        <v>8062.2905354000004</v>
      </c>
      <c r="F216" s="515">
        <f>'G - General Pay Plan'!F252</f>
        <v>9593.7367013000003</v>
      </c>
      <c r="G216" s="515">
        <f>'G - General Pay Plan'!G252</f>
        <v>11125.182867199999</v>
      </c>
      <c r="H216" s="397" t="s">
        <v>710</v>
      </c>
      <c r="I216" s="440">
        <f>'G - General Pay Plan'!$H$1</f>
        <v>2017</v>
      </c>
    </row>
    <row r="217" spans="1:9" x14ac:dyDescent="0.2">
      <c r="A217" s="397" t="str">
        <f>'G - General Pay Plan'!C194</f>
        <v>DNG230</v>
      </c>
      <c r="B217" t="str">
        <f>'G - General Pay Plan'!D194</f>
        <v>NPDES PERMIT COORDINATOR</v>
      </c>
      <c r="C217" s="397" t="str">
        <f>'G - General Pay Plan'!A188</f>
        <v>G28</v>
      </c>
      <c r="D217" s="44" t="s">
        <v>391</v>
      </c>
      <c r="E217" s="515">
        <f>'G - General Pay Plan'!E188</f>
        <v>6611.8555624500004</v>
      </c>
      <c r="F217" s="515">
        <f>'G - General Pay Plan'!F188</f>
        <v>7867.2138591666662</v>
      </c>
      <c r="G217" s="515">
        <f>'G - General Pay Plan'!G188</f>
        <v>9122.5721474000002</v>
      </c>
      <c r="H217" s="44" t="s">
        <v>710</v>
      </c>
      <c r="I217" s="440">
        <f>'G - General Pay Plan'!H1</f>
        <v>2017</v>
      </c>
    </row>
    <row r="218" spans="1:9" x14ac:dyDescent="0.2">
      <c r="A218" s="397" t="str">
        <f>'G - General Pay Plan'!C23</f>
        <v>ANG605</v>
      </c>
      <c r="B218" t="str">
        <f>'G - General Pay Plan'!D23</f>
        <v>OFFICE ASSISTANT</v>
      </c>
      <c r="C218" s="397" t="str">
        <f>'G - General Pay Plan'!A23</f>
        <v>G13</v>
      </c>
      <c r="D218" s="397" t="s">
        <v>391</v>
      </c>
      <c r="E218" s="515">
        <f>'G - General Pay Plan'!E23</f>
        <v>3140.6642741999999</v>
      </c>
      <c r="F218" s="515">
        <f>(E218+G218)/2</f>
        <v>3738.2068347499999</v>
      </c>
      <c r="G218" s="515">
        <f>'G - General Pay Plan'!G23</f>
        <v>4335.7493953000003</v>
      </c>
      <c r="H218" s="397" t="s">
        <v>711</v>
      </c>
      <c r="I218" s="440">
        <f>'G - General Pay Plan'!$H$1</f>
        <v>2017</v>
      </c>
    </row>
    <row r="219" spans="1:9" s="3" customFormat="1" x14ac:dyDescent="0.2">
      <c r="A219" s="242" t="str">
        <f>'G - General Pay Plan'!C7</f>
        <v>ANG607</v>
      </c>
      <c r="B219" t="str">
        <f>'G - General Pay Plan'!D7</f>
        <v>OFFICE CLERK</v>
      </c>
      <c r="C219" s="242" t="str">
        <f>'G - General Pay Plan'!A7</f>
        <v>G07</v>
      </c>
      <c r="D219" s="242" t="s">
        <v>391</v>
      </c>
      <c r="E219" s="516">
        <f>'G - General Pay Plan'!E7</f>
        <v>2331.84222705</v>
      </c>
      <c r="F219" s="516">
        <f>(E219+G219)/2</f>
        <v>2776.4347795250001</v>
      </c>
      <c r="G219" s="516">
        <f>'G - General Pay Plan'!G7</f>
        <v>3221.0273320000001</v>
      </c>
      <c r="H219" s="242" t="s">
        <v>711</v>
      </c>
      <c r="I219" s="440">
        <f>'G - General Pay Plan'!$H$1</f>
        <v>2017</v>
      </c>
    </row>
    <row r="220" spans="1:9" x14ac:dyDescent="0.2">
      <c r="A220" s="397" t="str">
        <f>'G - General Pay Plan'!C205</f>
        <v>MNG203</v>
      </c>
      <c r="B220" t="str">
        <f>'G - General Pay Plan'!D205</f>
        <v>OPERATIONS MANAGER</v>
      </c>
      <c r="C220" s="397" t="str">
        <f>'G - General Pay Plan'!A202</f>
        <v>G29</v>
      </c>
      <c r="D220" s="397" t="s">
        <v>391</v>
      </c>
      <c r="E220" s="515">
        <f>'G - General Pay Plan'!E202</f>
        <v>6946.2719303333333</v>
      </c>
      <c r="F220" s="515">
        <f>'G - General Pay Plan'!F202</f>
        <v>8267.0877797499998</v>
      </c>
      <c r="G220" s="515">
        <f>'G - General Pay Plan'!G202</f>
        <v>9587.9036206833334</v>
      </c>
      <c r="H220" s="397" t="s">
        <v>710</v>
      </c>
      <c r="I220" s="440">
        <f>'G - General Pay Plan'!$H$1</f>
        <v>2017</v>
      </c>
    </row>
    <row r="221" spans="1:9" x14ac:dyDescent="0.2">
      <c r="A221" s="397" t="str">
        <f>'G - General Pay Plan'!C122</f>
        <v>MNG204</v>
      </c>
      <c r="B221" t="str">
        <f>'G - General Pay Plan'!D122</f>
        <v>OPERATIONS SUPERVISOR</v>
      </c>
      <c r="C221" s="397" t="str">
        <f>'G - General Pay Plan'!A106</f>
        <v>G24</v>
      </c>
      <c r="D221" s="397" t="s">
        <v>391</v>
      </c>
      <c r="E221" s="515">
        <f>'G - General Pay Plan'!E106</f>
        <v>5421.9553019833338</v>
      </c>
      <c r="F221" s="515">
        <f>'G - General Pay Plan'!F106</f>
        <v>6451.7769118166661</v>
      </c>
      <c r="G221" s="515">
        <f>'G - General Pay Plan'!G106</f>
        <v>7481.5985301333321</v>
      </c>
      <c r="H221" s="397" t="s">
        <v>710</v>
      </c>
      <c r="I221" s="440">
        <f>'G - General Pay Plan'!$H$1</f>
        <v>2017</v>
      </c>
    </row>
    <row r="222" spans="1:9" x14ac:dyDescent="0.2">
      <c r="A222" s="242" t="str">
        <f>'G - General Pay Plan'!C195</f>
        <v>HNG208</v>
      </c>
      <c r="B222" t="str">
        <f>'G - General Pay Plan'!D195</f>
        <v>ORGANIZATION DEVELOPMENT CONSULTANT</v>
      </c>
      <c r="C222" s="242" t="str">
        <f>'G - General Pay Plan'!A188</f>
        <v>G28</v>
      </c>
      <c r="D222" s="242" t="s">
        <v>391</v>
      </c>
      <c r="E222" s="516">
        <f>'G - General Pay Plan'!E188</f>
        <v>6611.8555624500004</v>
      </c>
      <c r="F222" s="516">
        <f>'G - General Pay Plan'!F188</f>
        <v>7867.2138591666662</v>
      </c>
      <c r="G222" s="516">
        <f>'G - General Pay Plan'!G188</f>
        <v>9122.5721474000002</v>
      </c>
      <c r="H222" s="75" t="s">
        <v>710</v>
      </c>
      <c r="I222" s="440">
        <f>'G - General Pay Plan'!$H$1</f>
        <v>2017</v>
      </c>
    </row>
    <row r="223" spans="1:9" x14ac:dyDescent="0.2">
      <c r="A223" s="391" t="str">
        <f>'G - General Pay Plan'!C82</f>
        <v>LNG204</v>
      </c>
      <c r="B223" t="str">
        <f>'G - General Pay Plan'!D82</f>
        <v>PARALEGAL</v>
      </c>
      <c r="C223" s="391" t="str">
        <f>'G - General Pay Plan'!A75</f>
        <v>G22</v>
      </c>
      <c r="D223" s="397" t="s">
        <v>391</v>
      </c>
      <c r="E223" s="515">
        <f>'G - General Pay Plan'!E75</f>
        <v>4909.9610331333333</v>
      </c>
      <c r="F223" s="515">
        <f>'G - General Pay Plan'!F75</f>
        <v>5843.2164100166674</v>
      </c>
      <c r="G223" s="515">
        <f>'G - General Pay Plan'!G75</f>
        <v>6776.4717869000006</v>
      </c>
      <c r="H223" s="397" t="s">
        <v>711</v>
      </c>
      <c r="I223" s="440">
        <f>'G - General Pay Plan'!$H$1</f>
        <v>2017</v>
      </c>
    </row>
    <row r="224" spans="1:9" x14ac:dyDescent="0.2">
      <c r="A224" s="397" t="str">
        <f>'G - General Pay Plan'!C11</f>
        <v>RNG801</v>
      </c>
      <c r="B224" t="str">
        <f>'G - General Pay Plan'!D11</f>
        <v>PARK PATROL OFFICER</v>
      </c>
      <c r="C224" s="397" t="str">
        <f>'G - General Pay Plan'!A11</f>
        <v>G08</v>
      </c>
      <c r="D224" s="397" t="s">
        <v>391</v>
      </c>
      <c r="E224" s="515">
        <f>'G - General Pay Plan'!E11</f>
        <v>2451.0918414000002</v>
      </c>
      <c r="F224" s="515">
        <f>(E224+G224)/2</f>
        <v>2917.7192880666671</v>
      </c>
      <c r="G224" s="515">
        <f>'G - General Pay Plan'!G11</f>
        <v>3384.3467347333335</v>
      </c>
      <c r="H224" s="397" t="s">
        <v>711</v>
      </c>
      <c r="I224" s="440">
        <f>'G - General Pay Plan'!$H$1</f>
        <v>2017</v>
      </c>
    </row>
    <row r="225" spans="1:9" x14ac:dyDescent="0.2">
      <c r="A225" s="241" t="str">
        <f>'G - General Pay Plan'!C97</f>
        <v>RNG207</v>
      </c>
      <c r="B225" t="str">
        <f>'G - General Pay Plan'!D97</f>
        <v>PARK RANGER</v>
      </c>
      <c r="C225" s="241" t="str">
        <f>'G - General Pay Plan'!A86</f>
        <v>G23</v>
      </c>
      <c r="D225" s="397" t="s">
        <v>391</v>
      </c>
      <c r="E225" s="515">
        <f>'G - General Pay Plan'!E86</f>
        <v>5158.8286342500005</v>
      </c>
      <c r="F225" s="515">
        <f>'G - General Pay Plan'!F86</f>
        <v>6138.7468067</v>
      </c>
      <c r="G225" s="515">
        <f>'G - General Pay Plan'!G86</f>
        <v>7118.6649706666658</v>
      </c>
      <c r="H225" s="397" t="s">
        <v>710</v>
      </c>
      <c r="I225" s="440">
        <f>'G - General Pay Plan'!$H$1</f>
        <v>2017</v>
      </c>
    </row>
    <row r="226" spans="1:9" x14ac:dyDescent="0.2">
      <c r="A226" s="397" t="str">
        <f>'G - General Pay Plan'!C206</f>
        <v>RNG208</v>
      </c>
      <c r="B226" t="str">
        <f>'G - General Pay Plan'!D206</f>
        <v>PARKS &amp; COMMUNITY SERVICES MANAGER</v>
      </c>
      <c r="C226" s="397" t="str">
        <f>'G - General Pay Plan'!A202</f>
        <v>G29</v>
      </c>
      <c r="D226" s="397" t="s">
        <v>391</v>
      </c>
      <c r="E226" s="515">
        <f>'G - General Pay Plan'!E202</f>
        <v>6946.2719303333333</v>
      </c>
      <c r="F226" s="515">
        <f>'G - General Pay Plan'!F202</f>
        <v>8267.0877797499998</v>
      </c>
      <c r="G226" s="515">
        <f>'G - General Pay Plan'!G202</f>
        <v>9587.9036206833334</v>
      </c>
      <c r="H226" s="397" t="s">
        <v>710</v>
      </c>
      <c r="I226" s="440">
        <f>'G - General Pay Plan'!$H$1</f>
        <v>2017</v>
      </c>
    </row>
    <row r="227" spans="1:9" x14ac:dyDescent="0.2">
      <c r="A227" s="397" t="str">
        <f>'G - General Pay Plan'!C228</f>
        <v>ANG221</v>
      </c>
      <c r="B227" s="58" t="str">
        <f>'G - General Pay Plan'!D228</f>
        <v>PARKS PROPERTY AND ACQUISITIONS MANAGER</v>
      </c>
      <c r="C227" s="397" t="str">
        <f>'G - General Pay Plan'!A212</f>
        <v>G30</v>
      </c>
      <c r="D227" s="44" t="s">
        <v>391</v>
      </c>
      <c r="E227" s="515">
        <f>'G - General Pay Plan'!E212</f>
        <v>7301.4277322666667</v>
      </c>
      <c r="F227" s="515">
        <f>'G - General Pay Plan'!F212</f>
        <v>8687.7011343833346</v>
      </c>
      <c r="G227" s="515">
        <f>'G - General Pay Plan'!G212</f>
        <v>10073.974528016666</v>
      </c>
      <c r="H227" s="44" t="s">
        <v>710</v>
      </c>
      <c r="I227" s="440">
        <f>'G - General Pay Plan'!$H$1</f>
        <v>2017</v>
      </c>
    </row>
    <row r="228" spans="1:9" x14ac:dyDescent="0.2">
      <c r="A228" s="397" t="str">
        <f>'G - General Pay Plan'!C229</f>
        <v>MNG205</v>
      </c>
      <c r="B228" t="str">
        <f>'G - General Pay Plan'!D229</f>
        <v>PARKS RESOURCE MANAGER</v>
      </c>
      <c r="C228" s="397" t="str">
        <f>'G - General Pay Plan'!A212</f>
        <v>G30</v>
      </c>
      <c r="D228" s="397" t="s">
        <v>391</v>
      </c>
      <c r="E228" s="515">
        <f>'G - General Pay Plan'!E212</f>
        <v>7301.4277322666667</v>
      </c>
      <c r="F228" s="515">
        <f>'G - General Pay Plan'!F212</f>
        <v>8687.7011343833346</v>
      </c>
      <c r="G228" s="515">
        <f>'G - General Pay Plan'!G212</f>
        <v>10073.974528016666</v>
      </c>
      <c r="H228" s="397" t="s">
        <v>710</v>
      </c>
      <c r="I228" s="440">
        <f>'G - General Pay Plan'!$H$1</f>
        <v>2017</v>
      </c>
    </row>
    <row r="229" spans="1:9" s="3" customFormat="1" x14ac:dyDescent="0.2">
      <c r="A229" s="397" t="str">
        <f>'G - General Pay Plan'!C207</f>
        <v>ENG217</v>
      </c>
      <c r="B229" t="str">
        <f>'G - General Pay Plan'!D207</f>
        <v>PAVEMENT PROJECT MANAGER</v>
      </c>
      <c r="C229" s="397" t="str">
        <f>'G - General Pay Plan'!A202</f>
        <v>G29</v>
      </c>
      <c r="D229" s="397" t="s">
        <v>391</v>
      </c>
      <c r="E229" s="515">
        <f>'G - General Pay Plan'!E202</f>
        <v>6946.2719303333333</v>
      </c>
      <c r="F229" s="515">
        <f>'G - General Pay Plan'!F202</f>
        <v>8267.0877797499998</v>
      </c>
      <c r="G229" s="515">
        <f>'G - General Pay Plan'!G202</f>
        <v>9587.9036206833334</v>
      </c>
      <c r="H229" s="397" t="s">
        <v>710</v>
      </c>
      <c r="I229" s="440">
        <f>'G - General Pay Plan'!$H$1</f>
        <v>2017</v>
      </c>
    </row>
    <row r="230" spans="1:9" s="3" customFormat="1" x14ac:dyDescent="0.2">
      <c r="A230" s="397" t="str">
        <f>'G - General Pay Plan'!C161</f>
        <v>BNG213</v>
      </c>
      <c r="B230" t="str">
        <f>'G - General Pay Plan'!D161</f>
        <v>PERFORMANCE &amp; OUTREACH COORDINATOR</v>
      </c>
      <c r="C230" s="397" t="str">
        <f>'G - General Pay Plan'!A146</f>
        <v>G26</v>
      </c>
      <c r="D230" s="397" t="s">
        <v>391</v>
      </c>
      <c r="E230" s="515">
        <f>'G - General Pay Plan'!E146</f>
        <v>5987.0927253500004</v>
      </c>
      <c r="F230" s="515">
        <f>'G - General Pay Plan'!F146</f>
        <v>7123.8498313000009</v>
      </c>
      <c r="G230" s="515">
        <f>'G - General Pay Plan'!G146</f>
        <v>8260.6069372500006</v>
      </c>
      <c r="H230" s="397" t="s">
        <v>710</v>
      </c>
      <c r="I230" s="440">
        <f>'G - General Pay Plan'!$H$1</f>
        <v>2017</v>
      </c>
    </row>
    <row r="231" spans="1:9" s="3" customFormat="1" x14ac:dyDescent="0.2">
      <c r="A231" s="397" t="str">
        <f>'G - General Pay Plan'!C162</f>
        <v>DNG227</v>
      </c>
      <c r="B231" t="str">
        <f>'G - General Pay Plan'!D162</f>
        <v>PERMIT CENTER MANAGER</v>
      </c>
      <c r="C231" s="397" t="str">
        <f>'G - General Pay Plan'!A146</f>
        <v>G26</v>
      </c>
      <c r="D231" s="397" t="s">
        <v>391</v>
      </c>
      <c r="E231" s="515">
        <f>'G - General Pay Plan'!E146</f>
        <v>5987.0927253500004</v>
      </c>
      <c r="F231" s="515">
        <f>'G - General Pay Plan'!F146</f>
        <v>7123.8498313000009</v>
      </c>
      <c r="G231" s="515">
        <f>'G - General Pay Plan'!G146</f>
        <v>8260.6069372500006</v>
      </c>
      <c r="H231" s="397" t="s">
        <v>710</v>
      </c>
      <c r="I231" s="440">
        <f>'G - General Pay Plan'!$H$1</f>
        <v>2017</v>
      </c>
    </row>
    <row r="232" spans="1:9" s="3" customFormat="1" x14ac:dyDescent="0.2">
      <c r="A232" s="397" t="str">
        <f>'G - General Pay Plan'!C54</f>
        <v>DNG502</v>
      </c>
      <c r="B232" t="str">
        <f>'G - General Pay Plan'!D54</f>
        <v>PERMIT PROCESSING TECHNICIAN</v>
      </c>
      <c r="C232" s="397" t="str">
        <f>'G - General Pay Plan'!A48</f>
        <v>G19</v>
      </c>
      <c r="D232" s="397" t="s">
        <v>391</v>
      </c>
      <c r="E232" s="515">
        <f>'G - General Pay Plan'!E48</f>
        <v>4230.7585845833337</v>
      </c>
      <c r="F232" s="515">
        <f>(E232+G232)/2</f>
        <v>5033.74707605</v>
      </c>
      <c r="G232" s="515">
        <f>'G - General Pay Plan'!G48</f>
        <v>5836.7355675166664</v>
      </c>
      <c r="H232" s="397" t="s">
        <v>711</v>
      </c>
      <c r="I232" s="440">
        <f>'G - General Pay Plan'!$H$1</f>
        <v>2017</v>
      </c>
    </row>
    <row r="233" spans="1:9" s="3" customFormat="1" x14ac:dyDescent="0.2">
      <c r="A233" s="397" t="str">
        <f>'G - General Pay Plan'!C230</f>
        <v>DNG213</v>
      </c>
      <c r="B233" t="str">
        <f>'G - General Pay Plan'!D230</f>
        <v>PLANNING MANAGER</v>
      </c>
      <c r="C233" s="397" t="str">
        <f>'G - General Pay Plan'!A212</f>
        <v>G30</v>
      </c>
      <c r="D233" s="397" t="s">
        <v>391</v>
      </c>
      <c r="E233" s="515">
        <f>'G - General Pay Plan'!E212</f>
        <v>7301.4277322666667</v>
      </c>
      <c r="F233" s="515">
        <f>'G - General Pay Plan'!F212</f>
        <v>8687.7011343833346</v>
      </c>
      <c r="G233" s="515">
        <f>'G - General Pay Plan'!G212</f>
        <v>10073.974528016666</v>
      </c>
      <c r="H233" s="397" t="s">
        <v>710</v>
      </c>
      <c r="I233" s="440">
        <f>'G - General Pay Plan'!$H$1</f>
        <v>2017</v>
      </c>
    </row>
    <row r="234" spans="1:9" s="3" customFormat="1" x14ac:dyDescent="0.2">
      <c r="A234" s="242" t="str">
        <f>'G - General Pay Plan'!C177</f>
        <v>JNG203</v>
      </c>
      <c r="B234" t="str">
        <f>'G - General Pay Plan'!D177</f>
        <v>PLANS EXAMINATION SUPERVISOR</v>
      </c>
      <c r="C234" s="242" t="str">
        <f>'G - General Pay Plan'!A167</f>
        <v>G27</v>
      </c>
      <c r="D234" s="242" t="s">
        <v>391</v>
      </c>
      <c r="E234" s="516">
        <f>'G - General Pay Plan'!E167</f>
        <v>6291.6973280166667</v>
      </c>
      <c r="F234" s="516">
        <f>'G - General Pay Plan'!F167</f>
        <v>7486.7829241833342</v>
      </c>
      <c r="G234" s="516">
        <f>'G - General Pay Plan'!G167</f>
        <v>8681.8685118666672</v>
      </c>
      <c r="H234" s="242" t="s">
        <v>710</v>
      </c>
      <c r="I234" s="440">
        <f>'G - General Pay Plan'!$H$1</f>
        <v>2017</v>
      </c>
    </row>
    <row r="235" spans="1:9" s="3" customFormat="1" x14ac:dyDescent="0.2">
      <c r="A235" s="73" t="str">
        <f>'H- Bldg Insp, Examiners (rep)'!C9</f>
        <v>JRH303</v>
      </c>
      <c r="B235" t="str">
        <f>'H- Bldg Insp, Examiners (rep)'!D9</f>
        <v>PLANS EXAMINER</v>
      </c>
      <c r="C235" s="73" t="str">
        <f>'H- Bldg Insp, Examiners (rep)'!A7</f>
        <v>H03</v>
      </c>
      <c r="D235" s="73">
        <v>3</v>
      </c>
      <c r="E235" s="74">
        <f>'H- Bldg Insp, Examiners (rep)'!E7</f>
        <v>6999.3373562000006</v>
      </c>
      <c r="F235" s="74">
        <f>'H- Bldg Insp, Examiners (rep)'!F7</f>
        <v>7355.823922300001</v>
      </c>
      <c r="G235" s="74">
        <f>'H- Bldg Insp, Examiners (rep)'!G7</f>
        <v>7726.6911774500004</v>
      </c>
      <c r="H235" s="73" t="s">
        <v>710</v>
      </c>
      <c r="I235" s="439">
        <f>'H- Bldg Insp, Examiners (rep)'!$H$1</f>
        <v>2017</v>
      </c>
    </row>
    <row r="236" spans="1:9" s="3" customFormat="1" x14ac:dyDescent="0.2">
      <c r="A236" s="242" t="str">
        <f>'J- Police Mgmt (rep)'!C3</f>
        <v>PRJ201</v>
      </c>
      <c r="B236" t="str">
        <f>'J- Police Mgmt (rep)'!D3</f>
        <v>POLICE CAPTAIN</v>
      </c>
      <c r="C236" s="242" t="str">
        <f>'J- Police Mgmt (rep)'!A3</f>
        <v>J01</v>
      </c>
      <c r="D236" s="242">
        <v>2</v>
      </c>
      <c r="E236" s="519">
        <f>'J- Police Mgmt (rep)'!E3</f>
        <v>9633.5894100000005</v>
      </c>
      <c r="F236" s="519" t="s">
        <v>707</v>
      </c>
      <c r="G236" s="519">
        <f>'J- Police Mgmt (rep)'!F3</f>
        <v>10115.307768000001</v>
      </c>
      <c r="H236" s="242" t="s">
        <v>710</v>
      </c>
      <c r="I236" s="440">
        <f>'J- Police Mgmt (rep)'!$G$1</f>
        <v>2017</v>
      </c>
    </row>
    <row r="237" spans="1:9" x14ac:dyDescent="0.2">
      <c r="A237" s="242" t="str">
        <f>'P-Police (rep)'!B7</f>
        <v>PRP403</v>
      </c>
      <c r="B237" t="str">
        <f>'P-Police (rep)'!C7</f>
        <v>POLICE CORPORAL</v>
      </c>
      <c r="C237" s="242" t="str">
        <f>'P-Police (rep)'!A7</f>
        <v>P15</v>
      </c>
      <c r="D237" s="242">
        <v>1</v>
      </c>
      <c r="E237" s="519" t="s">
        <v>707</v>
      </c>
      <c r="F237" s="519" t="s">
        <v>707</v>
      </c>
      <c r="G237" s="517">
        <f>'P-Police (rep)'!H7</f>
        <v>7977.17</v>
      </c>
      <c r="H237" s="242" t="s">
        <v>711</v>
      </c>
      <c r="I237" s="522">
        <f>'P-Police (rep)'!I1</f>
        <v>2017</v>
      </c>
    </row>
    <row r="238" spans="1:9" x14ac:dyDescent="0.2">
      <c r="A238" s="397" t="str">
        <f>'D- Police Support (rep)'!B39</f>
        <v>PRD305</v>
      </c>
      <c r="B238" t="str">
        <f>'D- Police Support (rep)'!C39</f>
        <v>POLICE CRIME ANALYST</v>
      </c>
      <c r="C238" s="397" t="str">
        <f>'D- Police Support (rep)'!A39</f>
        <v>D44</v>
      </c>
      <c r="D238" s="242">
        <v>6</v>
      </c>
      <c r="E238" s="519">
        <f>'D- Police Support (rep)'!D39</f>
        <v>5382.94</v>
      </c>
      <c r="F238" s="518">
        <f>(E238+G238)/2</f>
        <v>6126.5450000000001</v>
      </c>
      <c r="G238" s="519">
        <f>'D- Police Support (rep)'!I39</f>
        <v>6870.15</v>
      </c>
      <c r="H238" s="242" t="s">
        <v>711</v>
      </c>
      <c r="I238" s="437">
        <f>'D- Police Support (rep)'!$J$1</f>
        <v>2017</v>
      </c>
    </row>
    <row r="239" spans="1:9" x14ac:dyDescent="0.2">
      <c r="A239" s="397" t="str">
        <f>'D- Police Support (rep)'!B35</f>
        <v>PRD304</v>
      </c>
      <c r="B239" t="str">
        <f>'D- Police Support (rep)'!C35</f>
        <v>POLICE DATA ANALYST</v>
      </c>
      <c r="C239" s="397" t="str">
        <f>'D- Police Support (rep)'!A35</f>
        <v>D29</v>
      </c>
      <c r="D239" s="242">
        <v>6</v>
      </c>
      <c r="E239" s="534">
        <f>'D- Police Support (rep)'!D35</f>
        <v>4999.6000000000004</v>
      </c>
      <c r="F239" s="518">
        <f>(E239+G239)/2</f>
        <v>5689.79</v>
      </c>
      <c r="G239" s="534">
        <f>'D- Police Support (rep)'!I35</f>
        <v>6379.98</v>
      </c>
      <c r="H239" s="242" t="s">
        <v>711</v>
      </c>
      <c r="I239" s="437">
        <f>'D- Police Support (rep)'!$J$1</f>
        <v>2017</v>
      </c>
    </row>
    <row r="240" spans="1:9" s="3" customFormat="1" x14ac:dyDescent="0.2">
      <c r="A240" s="397" t="str">
        <f>'D- Police Support (rep)'!B3</f>
        <v>PRD624</v>
      </c>
      <c r="B240" t="str">
        <f>'D- Police Support (rep)'!C3</f>
        <v>POLICE DATA QUALITY SPECIALIST</v>
      </c>
      <c r="C240" s="397" t="str">
        <f>'D- Police Support (rep)'!A3</f>
        <v>D20</v>
      </c>
      <c r="D240" s="242">
        <v>6</v>
      </c>
      <c r="E240" s="535">
        <f>'D- Police Support (rep)'!D3</f>
        <v>3470.66</v>
      </c>
      <c r="F240" s="518">
        <f>(E240+G240)/2</f>
        <v>3953.23</v>
      </c>
      <c r="G240" s="535">
        <f>'D- Police Support (rep)'!I3</f>
        <v>4435.8</v>
      </c>
      <c r="H240" s="242" t="s">
        <v>711</v>
      </c>
      <c r="I240" s="437">
        <f>'D- Police Support (rep)'!$J$1</f>
        <v>2017</v>
      </c>
    </row>
    <row r="241" spans="1:9" s="3" customFormat="1" x14ac:dyDescent="0.2">
      <c r="A241" s="397" t="str">
        <f>'D- Police Support (rep)'!B43</f>
        <v>PRD306</v>
      </c>
      <c r="B241" t="str">
        <f>'D- Police Support (rep)'!C43</f>
        <v>POLICE FORENSIC TECHNICIAN</v>
      </c>
      <c r="C241" s="397" t="str">
        <f>'D- Police Support (rep)'!A43</f>
        <v>D30</v>
      </c>
      <c r="D241" s="242">
        <v>6</v>
      </c>
      <c r="E241" s="534">
        <f>'D- Police Support (rep)'!D43</f>
        <v>5671.37</v>
      </c>
      <c r="F241" s="518">
        <f>(E241+G241)/2</f>
        <v>6454.41</v>
      </c>
      <c r="G241" s="534">
        <f>'D- Police Support (rep)'!I43</f>
        <v>7237.45</v>
      </c>
      <c r="H241" s="242" t="s">
        <v>711</v>
      </c>
      <c r="I241" s="437">
        <f>'D- Police Support (rep)'!$J$1</f>
        <v>2017</v>
      </c>
    </row>
    <row r="242" spans="1:9" s="3" customFormat="1" x14ac:dyDescent="0.2">
      <c r="A242" s="242" t="str">
        <f>'J- Police Mgmt (rep)'!C7</f>
        <v>PRJ202</v>
      </c>
      <c r="B242" t="str">
        <f>'J- Police Mgmt (rep)'!D7</f>
        <v>POLICE MAJOR</v>
      </c>
      <c r="C242" s="242" t="str">
        <f>'J- Police Mgmt (rep)'!A7</f>
        <v>J02</v>
      </c>
      <c r="D242" s="242">
        <v>2</v>
      </c>
      <c r="E242" s="519">
        <f>'J- Police Mgmt (rep)'!E7</f>
        <v>10940.985630000001</v>
      </c>
      <c r="F242" s="519" t="s">
        <v>707</v>
      </c>
      <c r="G242" s="519">
        <f>'J- Police Mgmt (rep)'!F7</f>
        <v>11487.764076000001</v>
      </c>
      <c r="H242" s="242" t="s">
        <v>710</v>
      </c>
      <c r="I242" s="440">
        <f>'J- Police Mgmt (rep)'!$G$1</f>
        <v>2017</v>
      </c>
    </row>
    <row r="243" spans="1:9" s="3" customFormat="1" x14ac:dyDescent="0.2">
      <c r="A243" s="242" t="str">
        <f>'P-Police (rep)'!B3</f>
        <v>PRP402</v>
      </c>
      <c r="B243" t="str">
        <f>'P-Police (rep)'!C3</f>
        <v>POLICE OFFICER</v>
      </c>
      <c r="C243" s="242" t="str">
        <f>'P-Police (rep)'!A3</f>
        <v>P10</v>
      </c>
      <c r="D243" s="242">
        <v>5</v>
      </c>
      <c r="E243" s="517">
        <f>'P-Police (rep)'!D3</f>
        <v>5332.27</v>
      </c>
      <c r="F243" s="517">
        <f>(E243+G243)/2</f>
        <v>6359.8700000000008</v>
      </c>
      <c r="G243" s="517">
        <f>'P-Police (rep)'!H3</f>
        <v>7387.47</v>
      </c>
      <c r="H243" s="242" t="s">
        <v>711</v>
      </c>
      <c r="I243" s="522">
        <f>'P-Police (rep)'!I1</f>
        <v>2017</v>
      </c>
    </row>
    <row r="244" spans="1:9" s="3" customFormat="1" x14ac:dyDescent="0.2">
      <c r="A244" s="397" t="str">
        <f>'D- Police Support (rep)'!B15</f>
        <v>PRD622</v>
      </c>
      <c r="B244" t="str">
        <f>'D- Police Support (rep)'!C15</f>
        <v>POLICE PERSONNEL SUPPORT SPECIALIST</v>
      </c>
      <c r="C244" s="397" t="str">
        <f>'D- Police Support (rep)'!A15</f>
        <v>D41</v>
      </c>
      <c r="D244" s="242">
        <v>6</v>
      </c>
      <c r="E244" s="534">
        <f>'D- Police Support (rep)'!D15</f>
        <v>4097.88</v>
      </c>
      <c r="F244" s="518">
        <f>(E244+G244)/2</f>
        <v>4663.9549999999999</v>
      </c>
      <c r="G244" s="534">
        <f>'D- Police Support (rep)'!I15</f>
        <v>5230.03</v>
      </c>
      <c r="H244" s="242" t="s">
        <v>711</v>
      </c>
      <c r="I244" s="437">
        <f>'D- Police Support (rep)'!$J$1</f>
        <v>2017</v>
      </c>
    </row>
    <row r="245" spans="1:9" s="3" customFormat="1" x14ac:dyDescent="0.2">
      <c r="A245" s="1" t="str">
        <f>'D- Police Support (rep)'!B19</f>
        <v>PRD626</v>
      </c>
      <c r="B245" t="str">
        <f>'D- Police Support (rep)'!C19</f>
        <v>POLICE PROPERTY EVIDENCE TECH</v>
      </c>
      <c r="C245" s="397" t="str">
        <f>'D- Police Support (rep)'!A19</f>
        <v>D23</v>
      </c>
      <c r="D245" s="242">
        <v>6</v>
      </c>
      <c r="E245" s="536">
        <f>'D- Police Support (rep)'!D19</f>
        <v>4103.8</v>
      </c>
      <c r="F245" s="518">
        <f>(E245+G245)/2</f>
        <v>4670.25</v>
      </c>
      <c r="G245" s="536">
        <f>'D- Police Support (rep)'!I19</f>
        <v>5236.7</v>
      </c>
      <c r="H245" s="242" t="s">
        <v>711</v>
      </c>
      <c r="I245" s="437">
        <f>'D- Police Support (rep)'!$J$1</f>
        <v>2017</v>
      </c>
    </row>
    <row r="246" spans="1:9" x14ac:dyDescent="0.2">
      <c r="A246" s="397" t="str">
        <f>'S-Police Support Supvsr'!B3</f>
        <v>PNS202</v>
      </c>
      <c r="B246" t="str">
        <f>'S-Police Support Supvsr'!C3</f>
        <v>POLICE RECORDS SUPERVISOR</v>
      </c>
      <c r="C246" s="397" t="str">
        <f>'S-Police Support Supvsr'!A3</f>
        <v>S24</v>
      </c>
      <c r="D246" s="397" t="s">
        <v>391</v>
      </c>
      <c r="E246" s="515">
        <f>'S-Police Support Supvsr'!D3</f>
        <v>5421.9553019833338</v>
      </c>
      <c r="F246" s="515">
        <f>'S-Police Support Supvsr'!E3</f>
        <v>6451.7769118166661</v>
      </c>
      <c r="G246" s="515">
        <f>'S-Police Support Supvsr'!F3</f>
        <v>7481.5985301333321</v>
      </c>
      <c r="H246" s="397" t="s">
        <v>711</v>
      </c>
      <c r="I246" s="439">
        <f>'S-Police Support Supvsr'!$G$1</f>
        <v>2017</v>
      </c>
    </row>
    <row r="247" spans="1:9" x14ac:dyDescent="0.2">
      <c r="A247" s="242" t="str">
        <f>'P-Police (rep)'!B11</f>
        <v>PRP401</v>
      </c>
      <c r="B247" s="43" t="str">
        <f>'P-Police (rep)'!C11</f>
        <v>POLICE SERGEANT*</v>
      </c>
      <c r="C247" s="242" t="str">
        <f>'P-Police (rep)'!A11</f>
        <v>P60</v>
      </c>
      <c r="D247" s="242">
        <v>2</v>
      </c>
      <c r="E247" s="517">
        <f>'P-Police (rep)'!G11</f>
        <v>8448.7099999999991</v>
      </c>
      <c r="F247" s="519" t="s">
        <v>707</v>
      </c>
      <c r="G247" s="517">
        <f>'P-Police (rep)'!H11</f>
        <v>8836.07</v>
      </c>
      <c r="H247" s="242" t="s">
        <v>711</v>
      </c>
      <c r="I247" s="522">
        <f>'P-Police (rep)'!I1</f>
        <v>2017</v>
      </c>
    </row>
    <row r="248" spans="1:9" x14ac:dyDescent="0.2">
      <c r="A248" s="397" t="str">
        <f>'D- Police Support (rep)'!B31</f>
        <v>PRD623</v>
      </c>
      <c r="B248" t="str">
        <f>'D- Police Support (rep)'!C31</f>
        <v>POLICE SUPPORT ADMIN ASST</v>
      </c>
      <c r="C248" s="397" t="str">
        <f>'D- Police Support (rep)'!A31</f>
        <v>D46</v>
      </c>
      <c r="D248" s="242">
        <v>6</v>
      </c>
      <c r="E248" s="534">
        <f>'D- Police Support (rep)'!D31</f>
        <v>4573.24</v>
      </c>
      <c r="F248" s="518">
        <f>(E248+G248)/2</f>
        <v>5204.99</v>
      </c>
      <c r="G248" s="534">
        <f>'D- Police Support (rep)'!I31</f>
        <v>5836.74</v>
      </c>
      <c r="H248" s="242" t="s">
        <v>711</v>
      </c>
      <c r="I248" s="437">
        <f>'D- Police Support (rep)'!$J$1</f>
        <v>2017</v>
      </c>
    </row>
    <row r="249" spans="1:9" x14ac:dyDescent="0.2">
      <c r="A249" s="397" t="str">
        <f>'D- Police Support (rep)'!B11</f>
        <v>PRD607</v>
      </c>
      <c r="B249" t="str">
        <f>'D- Police Support (rep)'!C11</f>
        <v>POLICE SUPPORT INFO/TECH SPEC</v>
      </c>
      <c r="C249" s="397" t="str">
        <f>'D- Police Support (rep)'!A11</f>
        <v>D22</v>
      </c>
      <c r="D249" s="242">
        <v>6</v>
      </c>
      <c r="E249" s="534">
        <f>'D- Police Support (rep)'!D11</f>
        <v>4003.18</v>
      </c>
      <c r="F249" s="518">
        <f>(E249+G249)/2</f>
        <v>4557.7550000000001</v>
      </c>
      <c r="G249" s="534">
        <f>'D- Police Support (rep)'!I11</f>
        <v>5112.33</v>
      </c>
      <c r="H249" s="242" t="s">
        <v>711</v>
      </c>
      <c r="I249" s="437">
        <f>'D- Police Support (rep)'!$J$1</f>
        <v>2017</v>
      </c>
    </row>
    <row r="250" spans="1:9" x14ac:dyDescent="0.2">
      <c r="A250" s="397" t="str">
        <f>'D- Police Support (rep)'!B23</f>
        <v>PRD401</v>
      </c>
      <c r="B250" t="str">
        <f>'D- Police Support (rep)'!C23</f>
        <v>POLICE SUPPORT OFFICER</v>
      </c>
      <c r="C250" s="397" t="str">
        <f>'D- Police Support (rep)'!A23</f>
        <v>D24</v>
      </c>
      <c r="D250" s="242">
        <v>6</v>
      </c>
      <c r="E250" s="534">
        <f>'D- Police Support (rep)'!D23</f>
        <v>4147.3900000000003</v>
      </c>
      <c r="F250" s="518">
        <f>(E250+G250)/2</f>
        <v>4712.7049999999999</v>
      </c>
      <c r="G250" s="534">
        <f>'D- Police Support (rep)'!I23</f>
        <v>5278.02</v>
      </c>
      <c r="H250" s="242" t="s">
        <v>711</v>
      </c>
      <c r="I250" s="437">
        <f>'D- Police Support (rep)'!$J$1</f>
        <v>2017</v>
      </c>
    </row>
    <row r="251" spans="1:9" x14ac:dyDescent="0.2">
      <c r="A251" s="397" t="str">
        <f>'D- Police Support (rep)'!B7</f>
        <v>PRD609</v>
      </c>
      <c r="B251" t="str">
        <f>'D- Police Support (rep)'!C7</f>
        <v>POLICE SUPPORT SPECIALIST</v>
      </c>
      <c r="C251" s="397" t="str">
        <f>'D- Police Support (rep)'!A7</f>
        <v>D21</v>
      </c>
      <c r="D251" s="242">
        <v>6</v>
      </c>
      <c r="E251" s="534">
        <f>'D- Police Support (rep)'!D7</f>
        <v>3849.27</v>
      </c>
      <c r="F251" s="518">
        <f>(E251+G251)/2</f>
        <v>4383.1850000000004</v>
      </c>
      <c r="G251" s="534">
        <f>'D- Police Support (rep)'!I7</f>
        <v>4917.1000000000004</v>
      </c>
      <c r="H251" s="242" t="s">
        <v>711</v>
      </c>
      <c r="I251" s="437">
        <f>'D- Police Support (rep)'!$J$1</f>
        <v>2017</v>
      </c>
    </row>
    <row r="252" spans="1:9" x14ac:dyDescent="0.2">
      <c r="A252" s="241" t="str">
        <f>'D- Police Support (rep)'!B32</f>
        <v>PRD501</v>
      </c>
      <c r="B252" t="str">
        <f>'D- Police Support (rep)'!C32</f>
        <v>POLICE SUPPORT SR ACCTG ASSC*</v>
      </c>
      <c r="C252" s="241" t="str">
        <f>'D- Police Support (rep)'!A31</f>
        <v>D46</v>
      </c>
      <c r="D252" s="242">
        <v>6</v>
      </c>
      <c r="E252" s="534">
        <f>'D- Police Support (rep)'!D31</f>
        <v>4573.24</v>
      </c>
      <c r="F252" s="518">
        <f>(E252+G252)/2</f>
        <v>5204.99</v>
      </c>
      <c r="G252" s="534">
        <f>'D- Police Support (rep)'!I31</f>
        <v>5836.74</v>
      </c>
      <c r="H252" s="242" t="s">
        <v>711</v>
      </c>
      <c r="I252" s="437">
        <f>'D- Police Support (rep)'!$J$1</f>
        <v>2017</v>
      </c>
    </row>
    <row r="253" spans="1:9" x14ac:dyDescent="0.2">
      <c r="A253" s="241" t="str">
        <f>'G - General Pay Plan'!C163</f>
        <v>PNG203</v>
      </c>
      <c r="B253" t="str">
        <f>'G - General Pay Plan'!D163</f>
        <v>POLICE SYSTEMS MANAGER</v>
      </c>
      <c r="C253" s="241" t="s">
        <v>145</v>
      </c>
      <c r="D253" s="397" t="s">
        <v>391</v>
      </c>
      <c r="E253" s="515">
        <f>'G - General Pay Plan'!E146</f>
        <v>5987.0927253500004</v>
      </c>
      <c r="F253" s="515">
        <f>'G - General Pay Plan'!F146</f>
        <v>7123.8498313000009</v>
      </c>
      <c r="G253" s="515">
        <f>'G - General Pay Plan'!G146</f>
        <v>8260.6069372500006</v>
      </c>
      <c r="H253" s="397" t="s">
        <v>710</v>
      </c>
      <c r="I253" s="440">
        <f>'G - General Pay Plan'!$H$1</f>
        <v>2017</v>
      </c>
    </row>
    <row r="254" spans="1:9" x14ac:dyDescent="0.2">
      <c r="A254" s="397" t="str">
        <f>'G - General Pay Plan'!C231</f>
        <v>DNG225</v>
      </c>
      <c r="B254" t="str">
        <f>'G - General Pay Plan'!D231</f>
        <v>PRINCIPAL TRANSPORATION PLANNER</v>
      </c>
      <c r="C254" s="397" t="str">
        <f>'G - General Pay Plan'!A212</f>
        <v>G30</v>
      </c>
      <c r="D254" s="397" t="s">
        <v>391</v>
      </c>
      <c r="E254" s="515">
        <f>'G - General Pay Plan'!E212</f>
        <v>7301.4277322666667</v>
      </c>
      <c r="F254" s="515">
        <f>'G - General Pay Plan'!F212</f>
        <v>8687.7011343833346</v>
      </c>
      <c r="G254" s="515">
        <f>'G - General Pay Plan'!G212</f>
        <v>10073.974528016666</v>
      </c>
      <c r="H254" s="397" t="s">
        <v>710</v>
      </c>
      <c r="I254" s="440">
        <f>'G - General Pay Plan'!$H$1</f>
        <v>2017</v>
      </c>
    </row>
    <row r="255" spans="1:9" s="3" customFormat="1" x14ac:dyDescent="0.2">
      <c r="A255" s="397" t="str">
        <f>'G - General Pay Plan'!C123</f>
        <v>SNG202</v>
      </c>
      <c r="B255" t="str">
        <f>'G - General Pay Plan'!D123</f>
        <v>PROBATION DIVISION ASSISTANT MANAGER</v>
      </c>
      <c r="C255" s="397" t="str">
        <f>'G - General Pay Plan'!A106</f>
        <v>G24</v>
      </c>
      <c r="D255" s="397" t="s">
        <v>391</v>
      </c>
      <c r="E255" s="515">
        <f>'G - General Pay Plan'!E106</f>
        <v>5421.9553019833338</v>
      </c>
      <c r="F255" s="515">
        <f>'G - General Pay Plan'!F106</f>
        <v>6451.7769118166661</v>
      </c>
      <c r="G255" s="515">
        <f>'G - General Pay Plan'!G106</f>
        <v>7481.5985301333321</v>
      </c>
      <c r="H255" s="397" t="s">
        <v>710</v>
      </c>
      <c r="I255" s="440">
        <f>'G - General Pay Plan'!$H$1</f>
        <v>2017</v>
      </c>
    </row>
    <row r="256" spans="1:9" x14ac:dyDescent="0.2">
      <c r="A256" s="226" t="str">
        <f>'G - General Pay Plan'!C208</f>
        <v>SNG203</v>
      </c>
      <c r="B256" t="str">
        <f>'G - General Pay Plan'!D208</f>
        <v>PROBATION MANAGER</v>
      </c>
      <c r="C256" s="241" t="str">
        <f>'G - General Pay Plan'!A202</f>
        <v>G29</v>
      </c>
      <c r="D256" s="397" t="s">
        <v>391</v>
      </c>
      <c r="E256" s="515">
        <f>'G - General Pay Plan'!E202</f>
        <v>6946.2719303333333</v>
      </c>
      <c r="F256" s="515">
        <f>'G - General Pay Plan'!F202</f>
        <v>8267.0877797499998</v>
      </c>
      <c r="G256" s="515">
        <f>'G - General Pay Plan'!G202</f>
        <v>9587.9036206833334</v>
      </c>
      <c r="H256" s="397" t="s">
        <v>710</v>
      </c>
      <c r="I256" s="440">
        <f>'G - General Pay Plan'!$H$1</f>
        <v>2017</v>
      </c>
    </row>
    <row r="257" spans="1:9" x14ac:dyDescent="0.2">
      <c r="A257" s="391" t="str">
        <f>'G - General Pay Plan'!C83</f>
        <v>SNG204</v>
      </c>
      <c r="B257" t="str">
        <f>'G - General Pay Plan'!D83</f>
        <v>PROBATION OFFICER</v>
      </c>
      <c r="C257" s="397" t="str">
        <f>'G - General Pay Plan'!A75</f>
        <v>G22</v>
      </c>
      <c r="D257" s="397" t="s">
        <v>391</v>
      </c>
      <c r="E257" s="515">
        <f>'G - General Pay Plan'!E75</f>
        <v>4909.9610331333333</v>
      </c>
      <c r="F257" s="515">
        <f>'G - General Pay Plan'!F75</f>
        <v>5843.2164100166674</v>
      </c>
      <c r="G257" s="515">
        <f>'G - General Pay Plan'!G75</f>
        <v>6776.4717869000006</v>
      </c>
      <c r="H257" s="397" t="s">
        <v>710</v>
      </c>
      <c r="I257" s="440">
        <f>'G - General Pay Plan'!$H$1</f>
        <v>2017</v>
      </c>
    </row>
    <row r="258" spans="1:9" x14ac:dyDescent="0.2">
      <c r="A258" s="391" t="str">
        <f>'G - General Pay Plan'!C72</f>
        <v>BNG504</v>
      </c>
      <c r="B258" t="str">
        <f>'G - General Pay Plan'!D72</f>
        <v>PROCUREMENT SPECIALIST</v>
      </c>
      <c r="C258" s="397" t="str">
        <f>'G - General Pay Plan'!A64</f>
        <v>G21</v>
      </c>
      <c r="D258" s="397" t="s">
        <v>391</v>
      </c>
      <c r="E258" s="515">
        <f>'G - General Pay Plan'!E64</f>
        <v>4671.462211633333</v>
      </c>
      <c r="F258" s="515">
        <f>'G - General Pay Plan'!F64</f>
        <v>5558.7030214166662</v>
      </c>
      <c r="G258" s="515">
        <f>'G - General Pay Plan'!G64</f>
        <v>6445.9438312000011</v>
      </c>
      <c r="H258" s="397" t="s">
        <v>711</v>
      </c>
      <c r="I258" s="440">
        <f>'G - General Pay Plan'!$H$1</f>
        <v>2017</v>
      </c>
    </row>
    <row r="259" spans="1:9" x14ac:dyDescent="0.2">
      <c r="A259" s="397" t="str">
        <f>'G - General Pay Plan'!C196</f>
        <v>ENG304</v>
      </c>
      <c r="B259" t="str">
        <f>'G - General Pay Plan'!D196</f>
        <v>PROFESSIONAL LAND SURVEYOR</v>
      </c>
      <c r="C259" s="397" t="str">
        <f>'G - General Pay Plan'!A188</f>
        <v>G28</v>
      </c>
      <c r="D259" s="397" t="s">
        <v>391</v>
      </c>
      <c r="E259" s="515">
        <f>'G - General Pay Plan'!E188</f>
        <v>6611.8555624500004</v>
      </c>
      <c r="F259" s="515">
        <f>'G - General Pay Plan'!F188</f>
        <v>7867.2138591666662</v>
      </c>
      <c r="G259" s="515">
        <f>'G - General Pay Plan'!G188</f>
        <v>9122.5721474000002</v>
      </c>
      <c r="H259" s="397" t="s">
        <v>710</v>
      </c>
      <c r="I259" s="440">
        <f>'G - General Pay Plan'!$H$1</f>
        <v>2017</v>
      </c>
    </row>
    <row r="260" spans="1:9" x14ac:dyDescent="0.2">
      <c r="A260" s="397" t="str">
        <f>'G - General Pay Plan'!C124</f>
        <v>ANG208</v>
      </c>
      <c r="B260" t="str">
        <f>'G - General Pay Plan'!D124</f>
        <v>PROGRAM ADMINISTRATOR</v>
      </c>
      <c r="C260" s="397" t="str">
        <f>'G - General Pay Plan'!A106</f>
        <v>G24</v>
      </c>
      <c r="D260" s="397" t="s">
        <v>391</v>
      </c>
      <c r="E260" s="515">
        <f>'G - General Pay Plan'!E106</f>
        <v>5421.9553019833338</v>
      </c>
      <c r="F260" s="515">
        <f>(E260+G260)/2</f>
        <v>6451.776916058333</v>
      </c>
      <c r="G260" s="515">
        <f>'G - General Pay Plan'!G106</f>
        <v>7481.5985301333321</v>
      </c>
      <c r="H260" s="397" t="s">
        <v>710</v>
      </c>
      <c r="I260" s="440">
        <f>'G - General Pay Plan'!$H$1</f>
        <v>2017</v>
      </c>
    </row>
    <row r="261" spans="1:9" x14ac:dyDescent="0.2">
      <c r="A261" s="397" t="str">
        <f>'G - General Pay Plan'!C178</f>
        <v>ANG209</v>
      </c>
      <c r="B261" t="str">
        <f>'G - General Pay Plan'!D178</f>
        <v>PROGRAM MANAGER</v>
      </c>
      <c r="C261" s="397" t="str">
        <f>'G - General Pay Plan'!A167</f>
        <v>G27</v>
      </c>
      <c r="D261" s="397" t="s">
        <v>391</v>
      </c>
      <c r="E261" s="515">
        <f>'G - General Pay Plan'!E167</f>
        <v>6291.6973280166667</v>
      </c>
      <c r="F261" s="515">
        <f>'G - General Pay Plan'!F167</f>
        <v>7486.7829241833342</v>
      </c>
      <c r="G261" s="515">
        <f>'G - General Pay Plan'!G167</f>
        <v>8681.8685118666672</v>
      </c>
      <c r="H261" s="397" t="s">
        <v>710</v>
      </c>
      <c r="I261" s="440">
        <f>'G - General Pay Plan'!$H$1</f>
        <v>2017</v>
      </c>
    </row>
    <row r="262" spans="1:9" x14ac:dyDescent="0.2">
      <c r="A262" s="397" t="str">
        <f>'G - General Pay Plan'!C99</f>
        <v>PNG301</v>
      </c>
      <c r="B262" t="str">
        <f>'G - General Pay Plan'!D99</f>
        <v>PROPERTY EVIDENCE SUPERVISOR</v>
      </c>
      <c r="C262" s="397" t="str">
        <f>'G - General Pay Plan'!A86</f>
        <v>G23</v>
      </c>
      <c r="D262" s="397" t="s">
        <v>391</v>
      </c>
      <c r="E262" s="515">
        <f>'G - General Pay Plan'!E86</f>
        <v>5158.8286342500005</v>
      </c>
      <c r="F262" s="515">
        <f>'G - General Pay Plan'!F86</f>
        <v>6138.7468067</v>
      </c>
      <c r="G262" s="515">
        <f>'G - General Pay Plan'!G86</f>
        <v>7118.6649706666658</v>
      </c>
      <c r="H262" s="397" t="s">
        <v>711</v>
      </c>
      <c r="I262" s="440">
        <f>'G - General Pay Plan'!$H$1</f>
        <v>2017</v>
      </c>
    </row>
    <row r="263" spans="1:9" x14ac:dyDescent="0.2">
      <c r="A263" s="397" t="str">
        <f>'G - General Pay Plan'!C84</f>
        <v>ANG216</v>
      </c>
      <c r="B263" t="str">
        <f>'G - General Pay Plan'!D84</f>
        <v>PUBLIC DISCLOSURE ANALYST</v>
      </c>
      <c r="C263" s="397" t="str">
        <f>'G - General Pay Plan'!A75</f>
        <v>G22</v>
      </c>
      <c r="D263" s="397" t="s">
        <v>391</v>
      </c>
      <c r="E263" s="515">
        <f>'G - General Pay Plan'!E75</f>
        <v>4909.9610331333333</v>
      </c>
      <c r="F263" s="515">
        <f>'G - General Pay Plan'!F75</f>
        <v>5843.2164100166674</v>
      </c>
      <c r="G263" s="515">
        <f>'G - General Pay Plan'!G75</f>
        <v>6776.4717869000006</v>
      </c>
      <c r="H263" s="397" t="s">
        <v>711</v>
      </c>
      <c r="I263" s="440">
        <f>'G - General Pay Plan'!$H$1</f>
        <v>2017</v>
      </c>
    </row>
    <row r="264" spans="1:9" x14ac:dyDescent="0.2">
      <c r="A264" s="397" t="str">
        <f>'G - General Pay Plan'!C60</f>
        <v>ANG504</v>
      </c>
      <c r="B264" t="str">
        <f>'G - General Pay Plan'!D60</f>
        <v>PUBLIC RECORDS ANALYST</v>
      </c>
      <c r="C264" s="397" t="str">
        <f>'G - General Pay Plan'!A57</f>
        <v>G20</v>
      </c>
      <c r="D264" s="397" t="s">
        <v>391</v>
      </c>
      <c r="E264" s="515">
        <f>'G - General Pay Plan'!E57</f>
        <v>4444.6295598500001</v>
      </c>
      <c r="F264" s="515">
        <f>'G - General Pay Plan'!F57</f>
        <v>5289.744206233333</v>
      </c>
      <c r="G264" s="515">
        <f>'G - General Pay Plan'!G57</f>
        <v>6134.8588610999986</v>
      </c>
      <c r="H264" s="397" t="s">
        <v>711</v>
      </c>
      <c r="I264" s="440">
        <f>'G - General Pay Plan'!$H$1</f>
        <v>2017</v>
      </c>
    </row>
    <row r="265" spans="1:9" x14ac:dyDescent="0.2">
      <c r="A265" s="397" t="str">
        <f>'G - General Pay Plan'!C44</f>
        <v>ANG609</v>
      </c>
      <c r="B265" t="str">
        <f>'G - General Pay Plan'!D44</f>
        <v>PUBLIC RECORDS MGMT SPECIALIST</v>
      </c>
      <c r="C265" s="397" t="str">
        <f>'G - General Pay Plan'!A43</f>
        <v>G18</v>
      </c>
      <c r="D265" s="397" t="s">
        <v>391</v>
      </c>
      <c r="E265" s="515">
        <f>'G - General Pay Plan'!E43</f>
        <v>4024.6644252000001</v>
      </c>
      <c r="F265" s="515">
        <f>(E265+G265)/2</f>
        <v>4789.4151739333338</v>
      </c>
      <c r="G265" s="515">
        <f>'G - General Pay Plan'!G43</f>
        <v>5554.165922666667</v>
      </c>
      <c r="H265" s="397" t="s">
        <v>711</v>
      </c>
      <c r="I265" s="440">
        <f>'G - General Pay Plan'!$H$1</f>
        <v>2017</v>
      </c>
    </row>
    <row r="266" spans="1:9" x14ac:dyDescent="0.2">
      <c r="A266" s="397" t="str">
        <f>'G - General Pay Plan'!C100</f>
        <v>DNG215</v>
      </c>
      <c r="B266" t="str">
        <f>'G - General Pay Plan'!D100</f>
        <v>REAL PROPERTY AGENT</v>
      </c>
      <c r="C266" s="397" t="str">
        <f>'G - General Pay Plan'!A86</f>
        <v>G23</v>
      </c>
      <c r="D266" s="397" t="s">
        <v>391</v>
      </c>
      <c r="E266" s="515">
        <f>'G - General Pay Plan'!E86</f>
        <v>5158.8286342500005</v>
      </c>
      <c r="F266" s="515">
        <f>'G - General Pay Plan'!F86</f>
        <v>6138.7468067</v>
      </c>
      <c r="G266" s="515">
        <f>'G - General Pay Plan'!G86</f>
        <v>7118.6649706666658</v>
      </c>
      <c r="H266" s="397" t="s">
        <v>710</v>
      </c>
      <c r="I266" s="440">
        <f>'G - General Pay Plan'!$H$1</f>
        <v>2017</v>
      </c>
    </row>
    <row r="267" spans="1:9" x14ac:dyDescent="0.2">
      <c r="A267" s="397" t="str">
        <f>'G - General Pay Plan'!C232</f>
        <v>DNG214</v>
      </c>
      <c r="B267" t="str">
        <f>'G - General Pay Plan'!D232</f>
        <v>REAL PROPERTY MANAGER</v>
      </c>
      <c r="C267" s="397" t="str">
        <f>'G - General Pay Plan'!A212</f>
        <v>G30</v>
      </c>
      <c r="D267" s="72" t="s">
        <v>391</v>
      </c>
      <c r="E267" s="515">
        <f>'G - General Pay Plan'!E212</f>
        <v>7301.4277322666667</v>
      </c>
      <c r="F267" s="515">
        <f>'G - General Pay Plan'!F212</f>
        <v>8687.7011343833346</v>
      </c>
      <c r="G267" s="515">
        <f>'G - General Pay Plan'!G212</f>
        <v>10073.974528016666</v>
      </c>
      <c r="H267" s="72" t="s">
        <v>710</v>
      </c>
      <c r="I267" s="440">
        <f>'G - General Pay Plan'!$H$1</f>
        <v>2017</v>
      </c>
    </row>
    <row r="268" spans="1:9" x14ac:dyDescent="0.2">
      <c r="A268" s="397" t="str">
        <f>'R-Rec Assts'!B3</f>
        <v>RNR701</v>
      </c>
      <c r="B268" t="str">
        <f>'R-Rec Assts'!C3</f>
        <v>RECREATION ASSISTANT 1</v>
      </c>
      <c r="C268" s="397" t="str">
        <f>'R-Rec Assts'!A3</f>
        <v>R01</v>
      </c>
      <c r="D268" s="397" t="s">
        <v>391</v>
      </c>
      <c r="E268" s="515">
        <f>'R-Rec Assts'!D3</f>
        <v>11</v>
      </c>
      <c r="F268" s="515">
        <f>'R-Rec Assts'!E3</f>
        <v>11</v>
      </c>
      <c r="G268" s="515">
        <f>'R-Rec Assts'!F3</f>
        <v>11</v>
      </c>
      <c r="H268" s="397" t="s">
        <v>711</v>
      </c>
      <c r="I268" s="439">
        <f>'R-Rec Assts'!$G$1</f>
        <v>2017</v>
      </c>
    </row>
    <row r="269" spans="1:9" x14ac:dyDescent="0.2">
      <c r="A269" s="397" t="str">
        <f>'R-Rec Assts'!B5</f>
        <v>RNR702</v>
      </c>
      <c r="B269" t="str">
        <f>'R-Rec Assts'!C5</f>
        <v>RECREATION ASSISTANT 2</v>
      </c>
      <c r="C269" s="397" t="str">
        <f>'R-Rec Assts'!A5</f>
        <v>R02</v>
      </c>
      <c r="D269" s="397" t="s">
        <v>391</v>
      </c>
      <c r="E269" s="515">
        <f>'R-Rec Assts'!D5</f>
        <v>11</v>
      </c>
      <c r="F269" s="515">
        <f>'R-Rec Assts'!E5</f>
        <v>11.6</v>
      </c>
      <c r="G269" s="515">
        <f>'R-Rec Assts'!F5</f>
        <v>12.2</v>
      </c>
      <c r="H269" s="397" t="s">
        <v>711</v>
      </c>
      <c r="I269" s="439">
        <f>'R-Rec Assts'!$G$1</f>
        <v>2017</v>
      </c>
    </row>
    <row r="270" spans="1:9" s="3" customFormat="1" x14ac:dyDescent="0.2">
      <c r="A270" s="397" t="str">
        <f>'R-Rec Assts'!B7</f>
        <v>RNR703</v>
      </c>
      <c r="B270" t="str">
        <f>'R-Rec Assts'!C7</f>
        <v>RECREATION ASSISTANT 3</v>
      </c>
      <c r="C270" s="397" t="str">
        <f>'R-Rec Assts'!A7</f>
        <v>R03</v>
      </c>
      <c r="D270" s="397" t="s">
        <v>391</v>
      </c>
      <c r="E270" s="515">
        <f>'R-Rec Assts'!D7</f>
        <v>12.5</v>
      </c>
      <c r="F270" s="515">
        <f>'R-Rec Assts'!E7</f>
        <v>17</v>
      </c>
      <c r="G270" s="515">
        <f>'R-Rec Assts'!F7</f>
        <v>21.5</v>
      </c>
      <c r="H270" s="397" t="s">
        <v>711</v>
      </c>
      <c r="I270" s="439">
        <f>'R-Rec Assts'!$G$1</f>
        <v>2017</v>
      </c>
    </row>
    <row r="271" spans="1:9" x14ac:dyDescent="0.2">
      <c r="A271" s="397" t="str">
        <f>'G - General Pay Plan'!C61</f>
        <v>RNG211</v>
      </c>
      <c r="B271" t="str">
        <f>'G - General Pay Plan'!D61</f>
        <v>RECREATION CENTER COORDINATOR</v>
      </c>
      <c r="C271" s="397" t="str">
        <f>'G - General Pay Plan'!A57</f>
        <v>G20</v>
      </c>
      <c r="D271" s="397" t="s">
        <v>391</v>
      </c>
      <c r="E271" s="515">
        <f>'G - General Pay Plan'!E57</f>
        <v>4444.6295598500001</v>
      </c>
      <c r="F271" s="515">
        <f>'G - General Pay Plan'!F57</f>
        <v>5289.744206233333</v>
      </c>
      <c r="G271" s="515">
        <f>'G - General Pay Plan'!G57</f>
        <v>6134.8588610999986</v>
      </c>
      <c r="H271" s="397" t="s">
        <v>711</v>
      </c>
      <c r="I271" s="440">
        <f>'G - General Pay Plan'!$H$1</f>
        <v>2017</v>
      </c>
    </row>
    <row r="272" spans="1:9" x14ac:dyDescent="0.2">
      <c r="A272" s="397" t="str">
        <f>'G - General Pay Plan'!C19</f>
        <v>RNG301</v>
      </c>
      <c r="B272" t="str">
        <f>'G - General Pay Plan'!D19</f>
        <v>RECREATION PROGRAM AIDE</v>
      </c>
      <c r="C272" s="397" t="str">
        <f>'G - General Pay Plan'!A19</f>
        <v>G10</v>
      </c>
      <c r="D272" s="397" t="s">
        <v>391</v>
      </c>
      <c r="E272" s="515">
        <f>'G - General Pay Plan'!E19</f>
        <v>2707.7374630333334</v>
      </c>
      <c r="F272" s="515">
        <f>(E272+G272)/2</f>
        <v>3221.6759337333333</v>
      </c>
      <c r="G272" s="515">
        <f>'G - General Pay Plan'!G19</f>
        <v>3735.6144044333337</v>
      </c>
      <c r="H272" s="397" t="s">
        <v>711</v>
      </c>
      <c r="I272" s="440">
        <f>'G - General Pay Plan'!$H$1</f>
        <v>2017</v>
      </c>
    </row>
    <row r="273" spans="1:9" x14ac:dyDescent="0.2">
      <c r="A273" s="397" t="str">
        <f>'G - General Pay Plan'!C101</f>
        <v>RNG209</v>
      </c>
      <c r="B273" t="str">
        <f>'G - General Pay Plan'!D101</f>
        <v>RECREATION PROGRAM COORDINATOR</v>
      </c>
      <c r="C273" s="397" t="str">
        <f>'G - General Pay Plan'!A86</f>
        <v>G23</v>
      </c>
      <c r="D273" s="397" t="s">
        <v>391</v>
      </c>
      <c r="E273" s="515">
        <f>'G - General Pay Plan'!E86</f>
        <v>5158.8286342500005</v>
      </c>
      <c r="F273" s="515">
        <f>'G - General Pay Plan'!F86</f>
        <v>6138.7468067</v>
      </c>
      <c r="G273" s="515">
        <f>'G - General Pay Plan'!G86</f>
        <v>7118.6649706666658</v>
      </c>
      <c r="H273" s="397" t="s">
        <v>710</v>
      </c>
      <c r="I273" s="440">
        <f>'G - General Pay Plan'!$H$1</f>
        <v>2017</v>
      </c>
    </row>
    <row r="274" spans="1:9" x14ac:dyDescent="0.2">
      <c r="A274" s="397" t="str">
        <f>'G - General Pay Plan'!C35</f>
        <v>RNG303</v>
      </c>
      <c r="B274" t="str">
        <f>'G - General Pay Plan'!D35</f>
        <v>RECREATION PROGRAM TECHNICIAN</v>
      </c>
      <c r="C274" s="397" t="str">
        <f>'G - General Pay Plan'!A31</f>
        <v>G16</v>
      </c>
      <c r="D274" s="397" t="s">
        <v>391</v>
      </c>
      <c r="E274" s="515">
        <f>'G - General Pay Plan'!E31</f>
        <v>3644.8807855166665</v>
      </c>
      <c r="F274" s="516">
        <f>(E274+G274)/2</f>
        <v>4338.3418298583329</v>
      </c>
      <c r="G274" s="515">
        <f>'G - General Pay Plan'!G31</f>
        <v>5031.8028741999997</v>
      </c>
      <c r="H274" s="397" t="s">
        <v>711</v>
      </c>
      <c r="I274" s="440">
        <f>'G - General Pay Plan'!$H$1</f>
        <v>2017</v>
      </c>
    </row>
    <row r="275" spans="1:9" x14ac:dyDescent="0.2">
      <c r="A275" s="397" t="str">
        <f>'G - General Pay Plan'!C125</f>
        <v>RNG210</v>
      </c>
      <c r="B275" t="str">
        <f>'G - General Pay Plan'!D125</f>
        <v>RECREATION SUPERVISOR</v>
      </c>
      <c r="C275" s="397" t="str">
        <f>'G - General Pay Plan'!A106</f>
        <v>G24</v>
      </c>
      <c r="D275" s="397" t="s">
        <v>391</v>
      </c>
      <c r="E275" s="515">
        <f>'G - General Pay Plan'!E106</f>
        <v>5421.9553019833338</v>
      </c>
      <c r="F275" s="515">
        <f>'G - General Pay Plan'!F106</f>
        <v>6451.7769118166661</v>
      </c>
      <c r="G275" s="515">
        <f>'G - General Pay Plan'!G106</f>
        <v>7481.5985301333321</v>
      </c>
      <c r="H275" s="397" t="s">
        <v>710</v>
      </c>
      <c r="I275" s="440">
        <f>'G - General Pay Plan'!$H$1</f>
        <v>2017</v>
      </c>
    </row>
    <row r="276" spans="1:9" x14ac:dyDescent="0.2">
      <c r="A276" s="397" t="str">
        <f>'G - General Pay Plan'!C257</f>
        <v>ENG212</v>
      </c>
      <c r="B276" t="str">
        <f>'G - General Pay Plan'!D257</f>
        <v>REGIONAL TRANSPORTATION PROJECTS MGR</v>
      </c>
      <c r="C276" s="397" t="str">
        <f>'G - General Pay Plan'!A252</f>
        <v>G32</v>
      </c>
      <c r="D276" s="397" t="s">
        <v>391</v>
      </c>
      <c r="E276" s="515">
        <f>'G - General Pay Plan'!E252</f>
        <v>8062.2905354000004</v>
      </c>
      <c r="F276" s="515">
        <f>'G - General Pay Plan'!F252</f>
        <v>9593.7367013000003</v>
      </c>
      <c r="G276" s="515">
        <f>'G - General Pay Plan'!G252</f>
        <v>11125.182867199999</v>
      </c>
      <c r="H276" s="397" t="s">
        <v>710</v>
      </c>
      <c r="I276" s="440">
        <f>'G - General Pay Plan'!$H$1</f>
        <v>2017</v>
      </c>
    </row>
    <row r="277" spans="1:9" x14ac:dyDescent="0.2">
      <c r="A277" s="73" t="str">
        <f>'W - Bldg Div Sups (rep)'!C3</f>
        <v>JRW201</v>
      </c>
      <c r="B277" t="str">
        <f>'W - Bldg Div Sups (rep)'!D3</f>
        <v>REVIEW &amp; INSPECTION SUPERVISOR</v>
      </c>
      <c r="C277" s="73" t="str">
        <f>'W - Bldg Div Sups (rep)'!A3</f>
        <v>W01</v>
      </c>
      <c r="D277" s="73">
        <v>4</v>
      </c>
      <c r="E277" s="74">
        <f>'W - Bldg Div Sups (rep)'!E3</f>
        <v>7687.7530450000004</v>
      </c>
      <c r="F277" s="74">
        <f>(E277+G277)/2</f>
        <v>8293.6440825000009</v>
      </c>
      <c r="G277" s="74">
        <f>'W - Bldg Div Sups (rep)'!H3</f>
        <v>8899.5351200000005</v>
      </c>
      <c r="H277" s="73" t="s">
        <v>710</v>
      </c>
      <c r="I277" s="439">
        <f>'W - Bldg Div Sups (rep)'!I1</f>
        <v>2017</v>
      </c>
    </row>
    <row r="278" spans="1:9" x14ac:dyDescent="0.2">
      <c r="A278" s="397" t="str">
        <f>'G - General Pay Plan'!C258</f>
        <v>ENG219</v>
      </c>
      <c r="B278" t="str">
        <f>'G - General Pay Plan'!D258</f>
        <v>RIGHT OF WAY MANAGER</v>
      </c>
      <c r="C278" s="397" t="str">
        <f>'G - General Pay Plan'!A252</f>
        <v>G32</v>
      </c>
      <c r="D278" s="44" t="s">
        <v>391</v>
      </c>
      <c r="E278" s="515">
        <f>'G - General Pay Plan'!E252</f>
        <v>8062.2905354000004</v>
      </c>
      <c r="F278" s="515">
        <f>'G - General Pay Plan'!F252</f>
        <v>9593.7367013000003</v>
      </c>
      <c r="G278" s="515">
        <f>'G - General Pay Plan'!G252</f>
        <v>11125.182867199999</v>
      </c>
      <c r="H278" s="44" t="s">
        <v>710</v>
      </c>
      <c r="I278" s="440">
        <f>'G - General Pay Plan'!$H$1</f>
        <v>2017</v>
      </c>
    </row>
    <row r="279" spans="1:9" x14ac:dyDescent="0.2">
      <c r="A279" s="397" t="str">
        <f>'G - General Pay Plan'!C179</f>
        <v>DNG217</v>
      </c>
      <c r="B279" t="str">
        <f>'G - General Pay Plan'!D179</f>
        <v>RIGHT OF WAY SUPERVISOR</v>
      </c>
      <c r="C279" s="397" t="str">
        <f>'G - General Pay Plan'!A167</f>
        <v>G27</v>
      </c>
      <c r="D279" s="397" t="s">
        <v>391</v>
      </c>
      <c r="E279" s="515">
        <f>'G - General Pay Plan'!E167</f>
        <v>6291.6973280166667</v>
      </c>
      <c r="F279" s="515">
        <f>'G - General Pay Plan'!F167</f>
        <v>7486.7829241833342</v>
      </c>
      <c r="G279" s="515">
        <f>'G - General Pay Plan'!G167</f>
        <v>8681.8685118666672</v>
      </c>
      <c r="H279" s="397" t="s">
        <v>710</v>
      </c>
      <c r="I279" s="440">
        <f>'G - General Pay Plan'!$H$1</f>
        <v>2017</v>
      </c>
    </row>
    <row r="280" spans="1:9" x14ac:dyDescent="0.2">
      <c r="A280" s="397" t="str">
        <f>'G - General Pay Plan'!C126</f>
        <v>LNG206</v>
      </c>
      <c r="B280" t="str">
        <f>'G - General Pay Plan'!D126</f>
        <v>RISK MANAGEMENT SPECIALIST</v>
      </c>
      <c r="C280" s="397" t="str">
        <f>'G - General Pay Plan'!A106</f>
        <v>G24</v>
      </c>
      <c r="D280" s="397" t="s">
        <v>391</v>
      </c>
      <c r="E280" s="515">
        <f>'G - General Pay Plan'!E106</f>
        <v>5421.9553019833338</v>
      </c>
      <c r="F280" s="515">
        <f>'G - General Pay Plan'!F106</f>
        <v>6451.7769118166661</v>
      </c>
      <c r="G280" s="515">
        <f>'G - General Pay Plan'!G106</f>
        <v>7481.5985301333321</v>
      </c>
      <c r="H280" s="397" t="s">
        <v>710</v>
      </c>
      <c r="I280" s="440">
        <f>'G - General Pay Plan'!$H$1</f>
        <v>2017</v>
      </c>
    </row>
    <row r="281" spans="1:9" x14ac:dyDescent="0.2">
      <c r="A281" s="397" t="str">
        <f>'G - General Pay Plan'!C233</f>
        <v>LNG208</v>
      </c>
      <c r="B281" t="str">
        <f>'G - General Pay Plan'!D233</f>
        <v>RISK MANAGER</v>
      </c>
      <c r="C281" s="72" t="s">
        <v>73</v>
      </c>
      <c r="D281" s="72" t="s">
        <v>391</v>
      </c>
      <c r="E281" s="515">
        <f>'G - General Pay Plan'!E212</f>
        <v>7301.4277322666667</v>
      </c>
      <c r="F281" s="515">
        <f>'G - General Pay Plan'!F212</f>
        <v>8687.7011343833346</v>
      </c>
      <c r="G281" s="515">
        <f>'G - General Pay Plan'!G212</f>
        <v>10073.974528016666</v>
      </c>
      <c r="H281" s="72" t="s">
        <v>710</v>
      </c>
      <c r="I281" s="440">
        <f>'G - General Pay Plan'!$H$1</f>
        <v>2017</v>
      </c>
    </row>
    <row r="282" spans="1:9" x14ac:dyDescent="0.2">
      <c r="A282" s="397" t="str">
        <f>'G - General Pay Plan'!C197</f>
        <v>ENG220</v>
      </c>
      <c r="B282" t="str">
        <f>'G - General Pay Plan'!D197</f>
        <v>SCADA &amp; OPERATIONS SUPERVISOR</v>
      </c>
      <c r="C282" s="397" t="str">
        <f>'G - General Pay Plan'!A188</f>
        <v>G28</v>
      </c>
      <c r="D282" s="397" t="s">
        <v>391</v>
      </c>
      <c r="E282" s="515">
        <f>'G - General Pay Plan'!E188</f>
        <v>6611.8555624500004</v>
      </c>
      <c r="F282" s="515">
        <f>(E282+G282)/2</f>
        <v>7867.2138549250003</v>
      </c>
      <c r="G282" s="515">
        <f>'G - General Pay Plan'!G188</f>
        <v>9122.5721474000002</v>
      </c>
      <c r="H282" s="397" t="s">
        <v>710</v>
      </c>
      <c r="I282" s="440">
        <f>'G - General Pay Plan'!$H$1</f>
        <v>2017</v>
      </c>
    </row>
    <row r="283" spans="1:9" x14ac:dyDescent="0.2">
      <c r="A283" s="397" t="str">
        <f>'G - General Pay Plan'!C45</f>
        <v>BNG502</v>
      </c>
      <c r="B283" t="str">
        <f>'G - General Pay Plan'!D45</f>
        <v>SENIOR ACCOUNTING ASSOCIATE</v>
      </c>
      <c r="C283" s="397" t="str">
        <f>'G - General Pay Plan'!A43</f>
        <v>G18</v>
      </c>
      <c r="D283" s="397" t="s">
        <v>391</v>
      </c>
      <c r="E283" s="515">
        <f>'G - General Pay Plan'!E43</f>
        <v>4024.6644252000001</v>
      </c>
      <c r="F283" s="515">
        <f>(E283+G283)/2</f>
        <v>4789.4151739333338</v>
      </c>
      <c r="G283" s="515">
        <f>'G - General Pay Plan'!G43</f>
        <v>5554.165922666667</v>
      </c>
      <c r="H283" s="397" t="s">
        <v>711</v>
      </c>
      <c r="I283" s="440">
        <f>'G - General Pay Plan'!$H$1</f>
        <v>2017</v>
      </c>
    </row>
    <row r="284" spans="1:9" x14ac:dyDescent="0.2">
      <c r="A284" s="397" t="str">
        <f>'G - General Pay Plan'!C62</f>
        <v>ANG602</v>
      </c>
      <c r="B284" t="str">
        <f>'G - General Pay Plan'!D62</f>
        <v>SENIOR ADMINISTRATIVE ASSISTANT</v>
      </c>
      <c r="C284" s="397" t="str">
        <f>'G - General Pay Plan'!A57</f>
        <v>G20</v>
      </c>
      <c r="D284" s="397" t="s">
        <v>391</v>
      </c>
      <c r="E284" s="515">
        <f>'G - General Pay Plan'!E57</f>
        <v>4444.6295598500001</v>
      </c>
      <c r="F284" s="515">
        <f>'G - General Pay Plan'!F57</f>
        <v>5289.744206233333</v>
      </c>
      <c r="G284" s="515">
        <f>'G - General Pay Plan'!G57</f>
        <v>6134.8588610999986</v>
      </c>
      <c r="H284" s="397" t="s">
        <v>711</v>
      </c>
      <c r="I284" s="440">
        <f>'G - General Pay Plan'!$H$1</f>
        <v>2017</v>
      </c>
    </row>
    <row r="285" spans="1:9" x14ac:dyDescent="0.2">
      <c r="A285" s="397" t="str">
        <f>'G - General Pay Plan'!C267</f>
        <v>LNG205</v>
      </c>
      <c r="B285" t="str">
        <f>'G - General Pay Plan'!D267</f>
        <v>SENIOR ATTORNEY</v>
      </c>
      <c r="C285" s="397" t="str">
        <f>'G - General Pay Plan'!A261</f>
        <v>G33</v>
      </c>
      <c r="D285" s="397" t="s">
        <v>391</v>
      </c>
      <c r="E285" s="515">
        <f>'G - General Pay Plan'!E261</f>
        <v>8470.5895003333335</v>
      </c>
      <c r="F285" s="515">
        <f>'G - General Pay Plan'!F261</f>
        <v>10081.751352383333</v>
      </c>
      <c r="G285" s="515">
        <f>'G - General Pay Plan'!G261</f>
        <v>11692.913195950001</v>
      </c>
      <c r="H285" s="397" t="s">
        <v>710</v>
      </c>
      <c r="I285" s="440">
        <f>'G - General Pay Plan'!$H$1</f>
        <v>2017</v>
      </c>
    </row>
    <row r="286" spans="1:9" x14ac:dyDescent="0.2">
      <c r="A286" s="397" t="str">
        <f>'G - General Pay Plan'!C127</f>
        <v>BNG204</v>
      </c>
      <c r="B286" t="str">
        <f>'G - General Pay Plan'!D127</f>
        <v>SENIOR BUDGET ANALYST</v>
      </c>
      <c r="C286" s="397" t="str">
        <f>'G - General Pay Plan'!A106</f>
        <v>G24</v>
      </c>
      <c r="D286" s="397" t="s">
        <v>391</v>
      </c>
      <c r="E286" s="515">
        <f>'G - General Pay Plan'!E106</f>
        <v>5421.9553019833338</v>
      </c>
      <c r="F286" s="515">
        <f>'G - General Pay Plan'!F106</f>
        <v>6451.7769118166661</v>
      </c>
      <c r="G286" s="515">
        <f>'G - General Pay Plan'!G106</f>
        <v>7481.5985301333321</v>
      </c>
      <c r="H286" s="397" t="s">
        <v>710</v>
      </c>
      <c r="I286" s="440">
        <f>'G - General Pay Plan'!$H$1</f>
        <v>2017</v>
      </c>
    </row>
    <row r="287" spans="1:9" x14ac:dyDescent="0.2">
      <c r="A287" s="397" t="str">
        <f>'G - General Pay Plan'!C164</f>
        <v>ANG219</v>
      </c>
      <c r="B287" t="str">
        <f>'G - General Pay Plan'!D164</f>
        <v>SENIOR BUSINESS PROCESS ANALYST</v>
      </c>
      <c r="C287" s="397" t="str">
        <f>'G - General Pay Plan'!A146</f>
        <v>G26</v>
      </c>
      <c r="D287" s="44" t="s">
        <v>391</v>
      </c>
      <c r="E287" s="515">
        <f>'G - General Pay Plan'!E146</f>
        <v>5987.0927253500004</v>
      </c>
      <c r="F287" s="515">
        <f>'G - General Pay Plan'!F146</f>
        <v>7123.8498313000009</v>
      </c>
      <c r="G287" s="515">
        <f>'G - General Pay Plan'!G146</f>
        <v>8260.6069372500006</v>
      </c>
      <c r="H287" s="44" t="s">
        <v>710</v>
      </c>
      <c r="I287" s="440">
        <f>'G - General Pay Plan'!$H$1</f>
        <v>2017</v>
      </c>
    </row>
    <row r="288" spans="1:9" x14ac:dyDescent="0.2">
      <c r="A288" s="397" t="str">
        <f>'G - General Pay Plan'!C128</f>
        <v>JNG302</v>
      </c>
      <c r="B288" t="str">
        <f>'G - General Pay Plan'!D128</f>
        <v>SENIOR CONSTRUCTION PROJECT INSPECTOR</v>
      </c>
      <c r="C288" s="397" t="str">
        <f>'G - General Pay Plan'!A106</f>
        <v>G24</v>
      </c>
      <c r="D288" s="397" t="s">
        <v>391</v>
      </c>
      <c r="E288" s="515">
        <f>'G - General Pay Plan'!E106</f>
        <v>5421.9553019833338</v>
      </c>
      <c r="F288" s="515">
        <f>'G - General Pay Plan'!F106</f>
        <v>6451.7769118166661</v>
      </c>
      <c r="G288" s="515">
        <f>'G - General Pay Plan'!G106</f>
        <v>7481.5985301333321</v>
      </c>
      <c r="H288" s="397" t="s">
        <v>711</v>
      </c>
      <c r="I288" s="440">
        <f>'G - General Pay Plan'!$H$1</f>
        <v>2017</v>
      </c>
    </row>
    <row r="289" spans="1:9" x14ac:dyDescent="0.2">
      <c r="A289" s="397" t="str">
        <f>'G - General Pay Plan'!C209</f>
        <v>ENG202</v>
      </c>
      <c r="B289" t="str">
        <f>'G - General Pay Plan'!D209</f>
        <v>SENIOR ENGINEER, TRANSPORTATION</v>
      </c>
      <c r="C289" s="397" t="str">
        <f>'G - General Pay Plan'!A202</f>
        <v>G29</v>
      </c>
      <c r="D289" s="397" t="s">
        <v>391</v>
      </c>
      <c r="E289" s="515">
        <f>'G - General Pay Plan'!E202</f>
        <v>6946.2719303333333</v>
      </c>
      <c r="F289" s="515">
        <f>'G - General Pay Plan'!F202</f>
        <v>8267.0877797499998</v>
      </c>
      <c r="G289" s="515">
        <f>'G - General Pay Plan'!G202</f>
        <v>9587.9036206833334</v>
      </c>
      <c r="H289" s="397" t="s">
        <v>710</v>
      </c>
      <c r="I289" s="440">
        <f>'G - General Pay Plan'!$H$1</f>
        <v>2017</v>
      </c>
    </row>
    <row r="290" spans="1:9" x14ac:dyDescent="0.2">
      <c r="A290" s="397" t="str">
        <f>'G - General Pay Plan'!C210</f>
        <v>ENG204</v>
      </c>
      <c r="B290" t="str">
        <f>'G - General Pay Plan'!D210</f>
        <v>SENIOR ENGINEER, UTILITIES</v>
      </c>
      <c r="C290" s="397" t="str">
        <f>'G - General Pay Plan'!A202</f>
        <v>G29</v>
      </c>
      <c r="D290" s="397" t="s">
        <v>391</v>
      </c>
      <c r="E290" s="515">
        <f>'G - General Pay Plan'!E202</f>
        <v>6946.2719303333333</v>
      </c>
      <c r="F290" s="515">
        <f>'G - General Pay Plan'!F202</f>
        <v>8267.0877797499998</v>
      </c>
      <c r="G290" s="515">
        <f>'G - General Pay Plan'!G202</f>
        <v>9587.9036206833334</v>
      </c>
      <c r="H290" s="397" t="s">
        <v>710</v>
      </c>
      <c r="I290" s="440">
        <f>'G - General Pay Plan'!$H$1</f>
        <v>2017</v>
      </c>
    </row>
    <row r="291" spans="1:9" x14ac:dyDescent="0.2">
      <c r="A291" s="397" t="str">
        <f>'G - General Pay Plan'!C129</f>
        <v>ENG208</v>
      </c>
      <c r="B291" t="str">
        <f>'G - General Pay Plan'!D129</f>
        <v>SENIOR ENGINEERING TECHNICIAN</v>
      </c>
      <c r="C291" s="397" t="str">
        <f>'G - General Pay Plan'!A106</f>
        <v>G24</v>
      </c>
      <c r="D291" s="397" t="s">
        <v>391</v>
      </c>
      <c r="E291" s="515">
        <f>'G - General Pay Plan'!E106</f>
        <v>5421.9553019833338</v>
      </c>
      <c r="F291" s="515">
        <f>'G - General Pay Plan'!F106</f>
        <v>6451.7769118166661</v>
      </c>
      <c r="G291" s="515">
        <f>'G - General Pay Plan'!G106</f>
        <v>7481.5985301333321</v>
      </c>
      <c r="H291" s="397" t="s">
        <v>711</v>
      </c>
      <c r="I291" s="440">
        <f>'G - General Pay Plan'!$H$1</f>
        <v>2017</v>
      </c>
    </row>
    <row r="292" spans="1:9" s="3" customFormat="1" x14ac:dyDescent="0.2">
      <c r="A292" s="397" t="str">
        <f>'G - General Pay Plan'!C180</f>
        <v>DNG205</v>
      </c>
      <c r="B292" t="str">
        <f>'G - General Pay Plan'!D180</f>
        <v>SENIOR FACILITIES PLANNING COORDINATOR</v>
      </c>
      <c r="C292" s="397" t="str">
        <f>'G - General Pay Plan'!A167</f>
        <v>G27</v>
      </c>
      <c r="D292" s="397" t="s">
        <v>391</v>
      </c>
      <c r="E292" s="515">
        <f>'G - General Pay Plan'!E167</f>
        <v>6291.6973280166667</v>
      </c>
      <c r="F292" s="515">
        <f>'G - General Pay Plan'!F167</f>
        <v>7486.7829241833342</v>
      </c>
      <c r="G292" s="515">
        <f>'G - General Pay Plan'!G167</f>
        <v>8681.8685118666672</v>
      </c>
      <c r="H292" s="397" t="s">
        <v>710</v>
      </c>
      <c r="I292" s="440">
        <f>'G - General Pay Plan'!$H$1</f>
        <v>2017</v>
      </c>
    </row>
    <row r="293" spans="1:9" s="3" customFormat="1" x14ac:dyDescent="0.2">
      <c r="A293" s="397" t="str">
        <f>'G - General Pay Plan'!C130</f>
        <v>BNG208</v>
      </c>
      <c r="B293" t="str">
        <f>'G - General Pay Plan'!D130</f>
        <v>SENIOR FINANCIAL ANALYST</v>
      </c>
      <c r="C293" s="397" t="str">
        <f>'G - General Pay Plan'!A106</f>
        <v>G24</v>
      </c>
      <c r="D293" s="397" t="s">
        <v>391</v>
      </c>
      <c r="E293" s="515">
        <f>'G - General Pay Plan'!E106</f>
        <v>5421.9553019833338</v>
      </c>
      <c r="F293" s="515">
        <f>'G - General Pay Plan'!F106</f>
        <v>6451.7769118166661</v>
      </c>
      <c r="G293" s="515">
        <f>'G - General Pay Plan'!G106</f>
        <v>7481.5985301333321</v>
      </c>
      <c r="H293" s="397" t="s">
        <v>710</v>
      </c>
      <c r="I293" s="440">
        <f>'G - General Pay Plan'!$H$1</f>
        <v>2017</v>
      </c>
    </row>
    <row r="294" spans="1:9" s="3" customFormat="1" x14ac:dyDescent="0.2">
      <c r="A294" s="397" t="str">
        <f>'G - General Pay Plan'!C131</f>
        <v>HNG206</v>
      </c>
      <c r="B294" t="str">
        <f>'G - General Pay Plan'!D131</f>
        <v>SENIOR HUMAN RESOURCES ANALYST</v>
      </c>
      <c r="C294" s="397" t="str">
        <f>'G - General Pay Plan'!A106</f>
        <v>G24</v>
      </c>
      <c r="D294" s="397" t="s">
        <v>391</v>
      </c>
      <c r="E294" s="515">
        <f>'G - General Pay Plan'!E106</f>
        <v>5421.9553019833338</v>
      </c>
      <c r="F294" s="515">
        <f>'G - General Pay Plan'!F106</f>
        <v>6451.7769118166661</v>
      </c>
      <c r="G294" s="515">
        <f>'G - General Pay Plan'!G106</f>
        <v>7481.5985301333321</v>
      </c>
      <c r="H294" s="397" t="s">
        <v>710</v>
      </c>
      <c r="I294" s="440">
        <f>'G - General Pay Plan'!$H$1</f>
        <v>2017</v>
      </c>
    </row>
    <row r="295" spans="1:9" s="3" customFormat="1" x14ac:dyDescent="0.2">
      <c r="A295" s="397" t="str">
        <f>'G - General Pay Plan'!C181</f>
        <v>DNG210</v>
      </c>
      <c r="B295" t="str">
        <f>'G - General Pay Plan'!D181</f>
        <v>SENIOR LAND USE PROFESSIONAL</v>
      </c>
      <c r="C295" s="397" t="str">
        <f>'G - General Pay Plan'!A167</f>
        <v>G27</v>
      </c>
      <c r="D295" s="397" t="s">
        <v>391</v>
      </c>
      <c r="E295" s="515">
        <f>'G - General Pay Plan'!E167</f>
        <v>6291.6973280166667</v>
      </c>
      <c r="F295" s="515">
        <f>'G - General Pay Plan'!F167</f>
        <v>7486.7829241833342</v>
      </c>
      <c r="G295" s="515">
        <f>'G - General Pay Plan'!G167</f>
        <v>8681.8685118666672</v>
      </c>
      <c r="H295" s="397" t="s">
        <v>710</v>
      </c>
      <c r="I295" s="440">
        <f>'G - General Pay Plan'!$H$1</f>
        <v>2017</v>
      </c>
    </row>
    <row r="296" spans="1:9" s="3" customFormat="1" x14ac:dyDescent="0.2">
      <c r="A296" s="397" t="str">
        <f>'G - General Pay Plan'!C36</f>
        <v>ANG606</v>
      </c>
      <c r="B296" t="str">
        <f>'G - General Pay Plan'!D36</f>
        <v>SENIOR OFFICE ASSISTANT</v>
      </c>
      <c r="C296" s="397" t="str">
        <f>'G - General Pay Plan'!A31</f>
        <v>G16</v>
      </c>
      <c r="D296" s="397" t="s">
        <v>391</v>
      </c>
      <c r="E296" s="515">
        <f>'G - General Pay Plan'!E31</f>
        <v>3644.8807855166665</v>
      </c>
      <c r="F296" s="516">
        <f>(E296+G296)/2</f>
        <v>4338.3418298583329</v>
      </c>
      <c r="G296" s="515">
        <f>'G - General Pay Plan'!G31</f>
        <v>5031.8028741999997</v>
      </c>
      <c r="H296" s="397" t="s">
        <v>711</v>
      </c>
      <c r="I296" s="440">
        <f>'G - General Pay Plan'!$H$1</f>
        <v>2017</v>
      </c>
    </row>
    <row r="297" spans="1:9" s="3" customFormat="1" x14ac:dyDescent="0.2">
      <c r="A297" s="397" t="str">
        <f>'G - General Pay Plan'!C182</f>
        <v>DNG212</v>
      </c>
      <c r="B297" t="str">
        <f>'G - General Pay Plan'!D182</f>
        <v>SENIOR PLANNER</v>
      </c>
      <c r="C297" s="397" t="str">
        <f>'G - General Pay Plan'!A167</f>
        <v>G27</v>
      </c>
      <c r="D297" s="397" t="s">
        <v>391</v>
      </c>
      <c r="E297" s="515">
        <f>'G - General Pay Plan'!E167</f>
        <v>6291.6973280166667</v>
      </c>
      <c r="F297" s="515">
        <f>'G - General Pay Plan'!F167</f>
        <v>7486.7829241833342</v>
      </c>
      <c r="G297" s="515">
        <f>'G - General Pay Plan'!G167</f>
        <v>8681.8685118666672</v>
      </c>
      <c r="H297" s="397" t="s">
        <v>710</v>
      </c>
      <c r="I297" s="440">
        <f>'G - General Pay Plan'!$H$1</f>
        <v>2017</v>
      </c>
    </row>
    <row r="298" spans="1:9" s="3" customFormat="1" x14ac:dyDescent="0.2">
      <c r="A298" s="397" t="str">
        <f>'G - General Pay Plan'!C183</f>
        <v>DNG216</v>
      </c>
      <c r="B298" t="str">
        <f>'G - General Pay Plan'!D183</f>
        <v>SENIOR REAL PROPERTY AGENT</v>
      </c>
      <c r="C298" s="397" t="str">
        <f>'G - General Pay Plan'!A167</f>
        <v>G27</v>
      </c>
      <c r="D298" s="397" t="s">
        <v>391</v>
      </c>
      <c r="E298" s="515">
        <f>'G - General Pay Plan'!E167</f>
        <v>6291.6973280166667</v>
      </c>
      <c r="F298" s="515">
        <f>'G - General Pay Plan'!F167</f>
        <v>7486.7829241833342</v>
      </c>
      <c r="G298" s="515">
        <f>'G - General Pay Plan'!G167</f>
        <v>8681.8685118666672</v>
      </c>
      <c r="H298" s="397" t="s">
        <v>710</v>
      </c>
      <c r="I298" s="440">
        <f>'G - General Pay Plan'!$H$1</f>
        <v>2017</v>
      </c>
    </row>
    <row r="299" spans="1:9" s="3" customFormat="1" x14ac:dyDescent="0.2">
      <c r="A299" s="397" t="str">
        <f>'G - General Pay Plan'!C184</f>
        <v>DNG229</v>
      </c>
      <c r="B299" s="77" t="str">
        <f>'G - General Pay Plan'!D184</f>
        <v>SENIOR UTILITIES REVIEW PROFESSIONAL</v>
      </c>
      <c r="C299" s="397" t="str">
        <f>'G - General Pay Plan'!A167</f>
        <v>G27</v>
      </c>
      <c r="D299" s="72" t="s">
        <v>391</v>
      </c>
      <c r="E299" s="515">
        <f>'G - General Pay Plan'!E167</f>
        <v>6291.6973280166667</v>
      </c>
      <c r="F299" s="515">
        <f>'G - General Pay Plan'!F167</f>
        <v>7486.7829241833342</v>
      </c>
      <c r="G299" s="515">
        <f>'G - General Pay Plan'!G167</f>
        <v>8681.8685118666672</v>
      </c>
      <c r="H299" s="72" t="s">
        <v>710</v>
      </c>
      <c r="I299" s="440">
        <f>'G - General Pay Plan'!$H$1</f>
        <v>2017</v>
      </c>
    </row>
    <row r="300" spans="1:9" s="3" customFormat="1" x14ac:dyDescent="0.2">
      <c r="A300" s="397" t="str">
        <f>'G - General Pay Plan'!C55</f>
        <v>ANG608</v>
      </c>
      <c r="B300" t="str">
        <f>'G - General Pay Plan'!D55</f>
        <v>SERVICE FIRST COORDINATOR</v>
      </c>
      <c r="C300" s="397" t="str">
        <f>'G - General Pay Plan'!A48</f>
        <v>G19</v>
      </c>
      <c r="D300" s="397" t="s">
        <v>391</v>
      </c>
      <c r="E300" s="515">
        <f>'G - General Pay Plan'!E48</f>
        <v>4230.7585845833337</v>
      </c>
      <c r="F300" s="515">
        <f t="shared" ref="F300:F306" si="2">(E300+G300)/2</f>
        <v>5033.74707605</v>
      </c>
      <c r="G300" s="515">
        <f>'G - General Pay Plan'!G48</f>
        <v>5836.7355675166664</v>
      </c>
      <c r="H300" s="397" t="s">
        <v>711</v>
      </c>
      <c r="I300" s="440">
        <f>'G - General Pay Plan'!$H$1</f>
        <v>2017</v>
      </c>
    </row>
    <row r="301" spans="1:9" s="3" customFormat="1" x14ac:dyDescent="0.2">
      <c r="A301" s="73" t="str">
        <f>'I -Signals &amp; Electronics (rep)'!B3</f>
        <v>MRI302</v>
      </c>
      <c r="B301" t="str">
        <f>'I -Signals &amp; Electronics (rep)'!C3</f>
        <v>SIGNAL ASSISTANT</v>
      </c>
      <c r="C301" s="73" t="str">
        <f>'I -Signals &amp; Electronics (rep)'!A3</f>
        <v>I01</v>
      </c>
      <c r="D301" s="73">
        <v>6</v>
      </c>
      <c r="E301" s="74">
        <f>'I -Signals &amp; Electronics (rep)'!D3</f>
        <v>3984.5086007999994</v>
      </c>
      <c r="F301" s="74">
        <f t="shared" si="2"/>
        <v>4534.8153759999996</v>
      </c>
      <c r="G301" s="74">
        <f>'I -Signals &amp; Electronics (rep)'!I3</f>
        <v>5085.1221512000002</v>
      </c>
      <c r="H301" s="73" t="s">
        <v>711</v>
      </c>
      <c r="I301" s="439">
        <f>'I -Signals &amp; Electronics (rep)'!J1</f>
        <v>2017</v>
      </c>
    </row>
    <row r="302" spans="1:9" s="3" customFormat="1" x14ac:dyDescent="0.2">
      <c r="A302" s="73" t="str">
        <f>'I -Signals &amp; Electronics (rep)'!B16</f>
        <v>MRI303</v>
      </c>
      <c r="B302" t="str">
        <f>'I -Signals &amp; Electronics (rep)'!C16</f>
        <v>SIGNAL ELECTRICIAN</v>
      </c>
      <c r="C302" s="73" t="str">
        <f>'I -Signals &amp; Electronics (rep)'!A15</f>
        <v>I04</v>
      </c>
      <c r="D302" s="73">
        <v>6</v>
      </c>
      <c r="E302" s="74">
        <f>'I -Signals &amp; Electronics (rep)'!D15</f>
        <v>5692.1551439999994</v>
      </c>
      <c r="F302" s="74">
        <f t="shared" si="2"/>
        <v>6478.3076799999999</v>
      </c>
      <c r="G302" s="74">
        <f>'I -Signals &amp; Electronics (rep)'!I15</f>
        <v>7264.4602159999995</v>
      </c>
      <c r="H302" s="73" t="s">
        <v>711</v>
      </c>
      <c r="I302" s="439">
        <f>'I -Signals &amp; Electronics (rep)'!J1</f>
        <v>2017</v>
      </c>
    </row>
    <row r="303" spans="1:9" s="3" customFormat="1" x14ac:dyDescent="0.2">
      <c r="A303" s="73" t="str">
        <f>'I -Signals &amp; Electronics (rep)'!B11</f>
        <v>MRI801</v>
      </c>
      <c r="B303" t="str">
        <f>'I -Signals &amp; Electronics (rep)'!C11</f>
        <v>SIGNAL REPAIR SPECIALIST</v>
      </c>
      <c r="C303" s="73" t="str">
        <f>'I -Signals &amp; Electronics (rep)'!A11</f>
        <v>I03</v>
      </c>
      <c r="D303" s="73">
        <v>6</v>
      </c>
      <c r="E303" s="74">
        <f>'I -Signals &amp; Electronics (rep)'!D11</f>
        <v>4838.3318723999992</v>
      </c>
      <c r="F303" s="74">
        <f t="shared" si="2"/>
        <v>5506.5615279999993</v>
      </c>
      <c r="G303" s="74">
        <f>'I -Signals &amp; Electronics (rep)'!I11</f>
        <v>6174.7911835999994</v>
      </c>
      <c r="H303" s="73" t="s">
        <v>711</v>
      </c>
      <c r="I303" s="439">
        <f>'I -Signals &amp; Electronics (rep)'!J1</f>
        <v>2017</v>
      </c>
    </row>
    <row r="304" spans="1:9" s="3" customFormat="1" x14ac:dyDescent="0.2">
      <c r="A304" s="242" t="str">
        <f>'B- Parks,Util,Civic Svc (rep)'!B28</f>
        <v>MRB706</v>
      </c>
      <c r="B304" s="4" t="str">
        <f>'B- Parks,Util,Civic Svc (rep)'!C28</f>
        <v>SKILLED WORKER</v>
      </c>
      <c r="C304" s="242" t="str">
        <f>'B- Parks,Util,Civic Svc (rep)'!A27</f>
        <v>B31</v>
      </c>
      <c r="D304" s="242">
        <v>6</v>
      </c>
      <c r="E304" s="517">
        <f>'B- Parks,Util,Civic Svc (rep)'!D27</f>
        <v>4383.8823560000001</v>
      </c>
      <c r="F304" s="517">
        <f t="shared" si="2"/>
        <v>4946.7308599999997</v>
      </c>
      <c r="G304" s="517">
        <f>'B- Parks,Util,Civic Svc (rep)'!I27</f>
        <v>5509.5793640000002</v>
      </c>
      <c r="H304" s="242" t="s">
        <v>711</v>
      </c>
      <c r="I304" s="439">
        <f>'B- Parks,Util,Civic Svc (rep)'!$K$1</f>
        <v>2017</v>
      </c>
    </row>
    <row r="305" spans="1:9" s="3" customFormat="1" x14ac:dyDescent="0.2">
      <c r="A305" s="242" t="str">
        <f>'B- Parks,Util,Civic Svc (rep)'!B31</f>
        <v>MRB707</v>
      </c>
      <c r="B305" s="4" t="str">
        <f>'B- Parks,Util,Civic Svc (rep)'!C31</f>
        <v>STRUCTURAL MAINT SPEC 1</v>
      </c>
      <c r="C305" s="242" t="str">
        <f>'B- Parks,Util,Civic Svc (rep)'!A31</f>
        <v>B35</v>
      </c>
      <c r="D305" s="242">
        <v>6</v>
      </c>
      <c r="E305" s="517">
        <f>'B- Parks,Util,Civic Svc (rep)'!D31</f>
        <v>4384.8487059999998</v>
      </c>
      <c r="F305" s="517">
        <f t="shared" si="2"/>
        <v>4948.1625690000001</v>
      </c>
      <c r="G305" s="517">
        <f>'B- Parks,Util,Civic Svc (rep)'!I31</f>
        <v>5511.4764320000004</v>
      </c>
      <c r="H305" s="242" t="s">
        <v>711</v>
      </c>
      <c r="I305" s="439">
        <f>'B- Parks,Util,Civic Svc (rep)'!$K$1</f>
        <v>2017</v>
      </c>
    </row>
    <row r="306" spans="1:9" s="3" customFormat="1" x14ac:dyDescent="0.2">
      <c r="A306" s="242" t="str">
        <f>'B- Parks,Util,Civic Svc (rep)'!B36</f>
        <v>MRB708</v>
      </c>
      <c r="B306" s="4" t="str">
        <f>'B- Parks,Util,Civic Svc (rep)'!C36</f>
        <v>STRUCTURAL MAINT SPEC 2</v>
      </c>
      <c r="C306" s="242" t="str">
        <f>'B- Parks,Util,Civic Svc (rep)'!A35</f>
        <v>B32</v>
      </c>
      <c r="D306" s="242">
        <v>6</v>
      </c>
      <c r="E306" s="517">
        <f>'B- Parks,Util,Civic Svc (rep)'!D35</f>
        <v>4777.7111940000004</v>
      </c>
      <c r="F306" s="517">
        <f t="shared" si="2"/>
        <v>5392.9837770000004</v>
      </c>
      <c r="G306" s="517">
        <f>'B- Parks,Util,Civic Svc (rep)'!I35</f>
        <v>6008.2563600000003</v>
      </c>
      <c r="H306" s="242" t="s">
        <v>711</v>
      </c>
      <c r="I306" s="439">
        <f>'B- Parks,Util,Civic Svc (rep)'!$K$1</f>
        <v>2017</v>
      </c>
    </row>
    <row r="307" spans="1:9" s="3" customFormat="1" x14ac:dyDescent="0.2">
      <c r="A307" s="73" t="str">
        <f>'H- Bldg Insp, Examiners (rep)'!C11</f>
        <v>JRH202</v>
      </c>
      <c r="B307" t="str">
        <f>'H- Bldg Insp, Examiners (rep)'!D11</f>
        <v>STRUCTURAL PLANS EXAMINER</v>
      </c>
      <c r="C307" s="73" t="str">
        <f>'H- Bldg Insp, Examiners (rep)'!A11</f>
        <v>H05</v>
      </c>
      <c r="D307" s="73">
        <v>3</v>
      </c>
      <c r="E307" s="74">
        <f>'H- Bldg Insp, Examiners (rep)'!E11</f>
        <v>8077.9578460000002</v>
      </c>
      <c r="F307" s="74">
        <f>'H- Bldg Insp, Examiners (rep)'!F11</f>
        <v>8488.0032006000001</v>
      </c>
      <c r="G307" s="74">
        <f>'H- Bldg Insp, Examiners (rep)'!G11</f>
        <v>8918.9167623499998</v>
      </c>
      <c r="H307" s="73" t="s">
        <v>710</v>
      </c>
      <c r="I307" s="439">
        <f>'H- Bldg Insp, Examiners (rep)'!$H$1</f>
        <v>2017</v>
      </c>
    </row>
    <row r="308" spans="1:9" s="3" customFormat="1" x14ac:dyDescent="0.2">
      <c r="A308" s="242" t="str">
        <f>'G - General Pay Plan'!C3</f>
        <v>ANG301</v>
      </c>
      <c r="B308" t="str">
        <f>'G - General Pay Plan'!D3</f>
        <v>STUDENT INTERN 1</v>
      </c>
      <c r="C308" s="242" t="str">
        <f>'G - General Pay Plan'!A3</f>
        <v>G01</v>
      </c>
      <c r="D308" s="242" t="s">
        <v>391</v>
      </c>
      <c r="E308" s="516">
        <f>'G - General Pay Plan'!E3</f>
        <v>1906.6666666666667</v>
      </c>
      <c r="F308" s="516">
        <f>(E308+G308)/2</f>
        <v>2149.7149071250001</v>
      </c>
      <c r="G308" s="516">
        <f>'G - General Pay Plan'!G3</f>
        <v>2392.7631475833336</v>
      </c>
      <c r="H308" s="242" t="s">
        <v>711</v>
      </c>
      <c r="I308" s="440">
        <f>'G - General Pay Plan'!$H$1</f>
        <v>2017</v>
      </c>
    </row>
    <row r="309" spans="1:9" s="3" customFormat="1" x14ac:dyDescent="0.2">
      <c r="A309" s="242" t="str">
        <f>'G - General Pay Plan'!C15</f>
        <v>ANG302</v>
      </c>
      <c r="B309" t="str">
        <f>'G - General Pay Plan'!D15</f>
        <v>STUDENT INTERN 2</v>
      </c>
      <c r="C309" s="242" t="str">
        <f>'G - General Pay Plan'!A15</f>
        <v>G09</v>
      </c>
      <c r="D309" s="242" t="s">
        <v>391</v>
      </c>
      <c r="E309" s="516">
        <f>'G - General Pay Plan'!E15</f>
        <v>2578.1181443833334</v>
      </c>
      <c r="F309" s="516">
        <f>(E309+G309)/2</f>
        <v>3066.1332917416667</v>
      </c>
      <c r="G309" s="516">
        <f>'G - General Pay Plan'!G15</f>
        <v>3554.1484390999999</v>
      </c>
      <c r="H309" s="242" t="s">
        <v>711</v>
      </c>
      <c r="I309" s="440">
        <f>'G - General Pay Plan'!$H$1</f>
        <v>2017</v>
      </c>
    </row>
    <row r="310" spans="1:9" s="3" customFormat="1" x14ac:dyDescent="0.2">
      <c r="A310" s="242" t="str">
        <f>'G - General Pay Plan'!C37</f>
        <v>ANG303</v>
      </c>
      <c r="B310" t="str">
        <f>'G - General Pay Plan'!D37</f>
        <v>STUDENT INTERN 3</v>
      </c>
      <c r="C310" s="242" t="str">
        <f>'G - General Pay Plan'!A31</f>
        <v>G16</v>
      </c>
      <c r="D310" s="242" t="s">
        <v>391</v>
      </c>
      <c r="E310" s="516">
        <f>'G - General Pay Plan'!E31</f>
        <v>3644.8807855166665</v>
      </c>
      <c r="F310" s="516">
        <f>(E310+G310)/2</f>
        <v>4338.3418298583329</v>
      </c>
      <c r="G310" s="516">
        <f>'G - General Pay Plan'!G31</f>
        <v>5031.8028741999997</v>
      </c>
      <c r="H310" s="242" t="s">
        <v>711</v>
      </c>
      <c r="I310" s="440">
        <f>'G - General Pay Plan'!$H$1</f>
        <v>2017</v>
      </c>
    </row>
    <row r="311" spans="1:9" s="3" customFormat="1" x14ac:dyDescent="0.2">
      <c r="A311" s="242" t="str">
        <f>'M-Mid Mgmt'!C22</f>
        <v>LNM202</v>
      </c>
      <c r="B311" t="str">
        <f>'M-Mid Mgmt'!D22</f>
        <v>SUPERVISING ATTORNEY</v>
      </c>
      <c r="C311" s="242" t="str">
        <f>'M-Mid Mgmt'!A15</f>
        <v>M02</v>
      </c>
      <c r="D311" s="242" t="s">
        <v>391</v>
      </c>
      <c r="E311" s="516">
        <f>'M-Mid Mgmt'!E15</f>
        <v>8902.2198630500006</v>
      </c>
      <c r="F311" s="516">
        <f>'M-Mid Mgmt'!F15</f>
        <v>10593.745612750001</v>
      </c>
      <c r="G311" s="516">
        <f>'M-Mid Mgmt'!G15</f>
        <v>12285.271370933335</v>
      </c>
      <c r="H311" s="242" t="s">
        <v>710</v>
      </c>
      <c r="I311" s="439">
        <f>'M-Mid Mgmt'!$H$1</f>
        <v>2017</v>
      </c>
    </row>
    <row r="312" spans="1:9" s="3" customFormat="1" x14ac:dyDescent="0.2">
      <c r="A312" s="242" t="str">
        <f>'G - General Pay Plan'!C4</f>
        <v>ANG611</v>
      </c>
      <c r="B312" t="str">
        <f>'G - General Pay Plan'!D4</f>
        <v>SUPPORTED EMPLOYMENT AIDE</v>
      </c>
      <c r="C312" s="242" t="str">
        <f>'G - General Pay Plan'!A3</f>
        <v>G01</v>
      </c>
      <c r="D312" s="242" t="s">
        <v>391</v>
      </c>
      <c r="E312" s="516">
        <f>'G - General Pay Plan'!E3</f>
        <v>1906.6666666666667</v>
      </c>
      <c r="F312" s="516">
        <f>(E312+G312)/2</f>
        <v>2149.7149071250001</v>
      </c>
      <c r="G312" s="516">
        <f>'G - General Pay Plan'!G3</f>
        <v>2392.7631475833336</v>
      </c>
      <c r="H312" s="433" t="s">
        <v>711</v>
      </c>
      <c r="I312" s="440">
        <f>'G - General Pay Plan'!$H$1</f>
        <v>2017</v>
      </c>
    </row>
    <row r="313" spans="1:9" s="3" customFormat="1" x14ac:dyDescent="0.2">
      <c r="A313" s="242" t="str">
        <f>'G - General Pay Plan'!C39</f>
        <v>ENG309</v>
      </c>
      <c r="B313" t="str">
        <f>'G - General Pay Plan'!D39</f>
        <v>SURVEY ASSISTANT</v>
      </c>
      <c r="C313" s="242" t="str">
        <f>'G - General Pay Plan'!A39</f>
        <v>G17</v>
      </c>
      <c r="D313" s="242" t="s">
        <v>391</v>
      </c>
      <c r="E313" s="516">
        <f>'G - General Pay Plan'!E39</f>
        <v>3831.5319508166667</v>
      </c>
      <c r="F313" s="516">
        <f>(E313+G313)/2</f>
        <v>4559.341863366667</v>
      </c>
      <c r="G313" s="516">
        <f>'G - General Pay Plan'!G39</f>
        <v>5287.1517759166672</v>
      </c>
      <c r="H313" s="242" t="s">
        <v>711</v>
      </c>
      <c r="I313" s="440">
        <f>'G - General Pay Plan'!$H$1</f>
        <v>2017</v>
      </c>
    </row>
    <row r="314" spans="1:9" s="3" customFormat="1" x14ac:dyDescent="0.2">
      <c r="A314" s="242" t="str">
        <f>'G - General Pay Plan'!C247</f>
        <v>ENG210</v>
      </c>
      <c r="B314" s="3" t="str">
        <f>'G - General Pay Plan'!D247</f>
        <v>SURVEY MANAGER</v>
      </c>
      <c r="C314" s="242" t="str">
        <f>'G - General Pay Plan'!A238</f>
        <v>G31</v>
      </c>
      <c r="D314" s="242" t="s">
        <v>391</v>
      </c>
      <c r="E314" s="516">
        <f>'G - General Pay Plan'!E238</f>
        <v>7672.1381076166663</v>
      </c>
      <c r="F314" s="516">
        <f>(E314+G314)/2</f>
        <v>9129.7016764666678</v>
      </c>
      <c r="G314" s="516">
        <f>'G - General Pay Plan'!G238</f>
        <v>10587.265245316668</v>
      </c>
      <c r="H314" s="242" t="s">
        <v>710</v>
      </c>
      <c r="I314" s="440">
        <f>'G - General Pay Plan'!$H$1</f>
        <v>2017</v>
      </c>
    </row>
    <row r="315" spans="1:9" s="3" customFormat="1" x14ac:dyDescent="0.2">
      <c r="A315" s="242" t="str">
        <f>'G - General Pay Plan'!C73</f>
        <v>ENG305</v>
      </c>
      <c r="B315" t="str">
        <f>'G - General Pay Plan'!D73</f>
        <v>SURVEYOR 1</v>
      </c>
      <c r="C315" s="242" t="str">
        <f>'G - General Pay Plan'!A64</f>
        <v>G21</v>
      </c>
      <c r="D315" s="242" t="s">
        <v>391</v>
      </c>
      <c r="E315" s="516">
        <f>'G - General Pay Plan'!E64</f>
        <v>4671.462211633333</v>
      </c>
      <c r="F315" s="516">
        <f>(E315+G315)/2</f>
        <v>5558.7030214166671</v>
      </c>
      <c r="G315" s="516">
        <f>'G - General Pay Plan'!G64</f>
        <v>6445.9438312000011</v>
      </c>
      <c r="H315" s="242" t="s">
        <v>711</v>
      </c>
      <c r="I315" s="440">
        <f>'G - General Pay Plan'!$H$1</f>
        <v>2017</v>
      </c>
    </row>
    <row r="316" spans="1:9" s="3" customFormat="1" x14ac:dyDescent="0.2">
      <c r="A316" s="242" t="str">
        <f>'G - General Pay Plan'!C102</f>
        <v>ENG306</v>
      </c>
      <c r="B316" t="str">
        <f>'G - General Pay Plan'!D102</f>
        <v>SURVEYOR 2</v>
      </c>
      <c r="C316" s="242" t="str">
        <f>'G - General Pay Plan'!A86</f>
        <v>G23</v>
      </c>
      <c r="D316" s="242" t="s">
        <v>391</v>
      </c>
      <c r="E316" s="516">
        <f>'G - General Pay Plan'!E86</f>
        <v>5158.8286342500005</v>
      </c>
      <c r="F316" s="516">
        <f>(E316+G316)/2</f>
        <v>6138.7468024583331</v>
      </c>
      <c r="G316" s="516">
        <f>'G - General Pay Plan'!G86</f>
        <v>7118.6649706666658</v>
      </c>
      <c r="H316" s="242" t="s">
        <v>711</v>
      </c>
      <c r="I316" s="440">
        <f>'G - General Pay Plan'!$H$1</f>
        <v>2017</v>
      </c>
    </row>
    <row r="317" spans="1:9" x14ac:dyDescent="0.2">
      <c r="A317" s="242" t="str">
        <f>'G - General Pay Plan'!C140</f>
        <v>ENG307</v>
      </c>
      <c r="B317" t="str">
        <f>'G - General Pay Plan'!D140</f>
        <v>SURVEYOR 3</v>
      </c>
      <c r="C317" s="242" t="str">
        <f>'G - General Pay Plan'!A135</f>
        <v>G25</v>
      </c>
      <c r="D317" s="242" t="s">
        <v>391</v>
      </c>
      <c r="E317" s="516">
        <f>'G - General Pay Plan'!E135</f>
        <v>5699.3391530333329</v>
      </c>
      <c r="F317" s="516">
        <f>'G - General Pay Plan'!F135</f>
        <v>6780.3601990833331</v>
      </c>
      <c r="G317" s="516">
        <f>'G - General Pay Plan'!G135</f>
        <v>7861.3812366499997</v>
      </c>
      <c r="H317" s="242" t="s">
        <v>711</v>
      </c>
      <c r="I317" s="440">
        <f>'G - General Pay Plan'!$H$1</f>
        <v>2017</v>
      </c>
    </row>
    <row r="318" spans="1:9" x14ac:dyDescent="0.2">
      <c r="A318" s="242" t="str">
        <f>'G - General Pay Plan'!C141</f>
        <v>ING211</v>
      </c>
      <c r="B318" t="str">
        <f>'G - General Pay Plan'!D141</f>
        <v>SYSTEMS ANALYST</v>
      </c>
      <c r="C318" s="242" t="str">
        <f>'G - General Pay Plan'!A135</f>
        <v>G25</v>
      </c>
      <c r="D318" s="242" t="s">
        <v>391</v>
      </c>
      <c r="E318" s="516">
        <f>'G - General Pay Plan'!E135</f>
        <v>5699.3391530333329</v>
      </c>
      <c r="F318" s="516">
        <f>'G - General Pay Plan'!F135</f>
        <v>6780.3601990833331</v>
      </c>
      <c r="G318" s="516">
        <f>'G - General Pay Plan'!G135</f>
        <v>7861.3812366499997</v>
      </c>
      <c r="H318" s="242" t="s">
        <v>710</v>
      </c>
      <c r="I318" s="440">
        <f>'G - General Pay Plan'!$H$1</f>
        <v>2017</v>
      </c>
    </row>
    <row r="319" spans="1:9" x14ac:dyDescent="0.2">
      <c r="A319" s="242" t="str">
        <f>'B- Parks,Util,Civic Svc (rep)'!B47</f>
        <v>MRB709</v>
      </c>
      <c r="B319" s="4" t="str">
        <f>'B- Parks,Util,Civic Svc (rep)'!C47</f>
        <v>TECHNICAL SPECIALIST</v>
      </c>
      <c r="C319" s="242" t="str">
        <f>'B- Parks,Util,Civic Svc (rep)'!A47</f>
        <v>B39</v>
      </c>
      <c r="D319" s="433" t="s">
        <v>790</v>
      </c>
      <c r="E319" s="517">
        <f>'B- Parks,Util,Civic Svc (rep)'!D47</f>
        <v>5241.5415160000002</v>
      </c>
      <c r="F319" s="517">
        <f>(E319+G319)/2</f>
        <v>5818.7953620000008</v>
      </c>
      <c r="G319" s="517">
        <f>'B- Parks,Util,Civic Svc (rep)'!I47</f>
        <v>6396.0492080000004</v>
      </c>
      <c r="H319" s="242" t="s">
        <v>711</v>
      </c>
      <c r="I319" s="439">
        <f>'B- Parks,Util,Civic Svc (rep)'!$K$1</f>
        <v>2017</v>
      </c>
    </row>
    <row r="320" spans="1:9" x14ac:dyDescent="0.2">
      <c r="A320" s="242" t="str">
        <f>'G - General Pay Plan'!C46</f>
        <v>ING505</v>
      </c>
      <c r="B320" t="str">
        <f>('G - General Pay Plan'!D46)</f>
        <v>TECHNOLOGY BUSINESS ANALYST 1</v>
      </c>
      <c r="C320" s="242" t="str">
        <f>'G - General Pay Plan'!A43</f>
        <v>G18</v>
      </c>
      <c r="D320" s="242" t="s">
        <v>391</v>
      </c>
      <c r="E320" s="516">
        <f>'G - General Pay Plan'!E43</f>
        <v>4024.6644252000001</v>
      </c>
      <c r="F320" s="516">
        <f>(E320+G320)/2</f>
        <v>4789.4151739333338</v>
      </c>
      <c r="G320" s="516">
        <f>'G - General Pay Plan'!G43</f>
        <v>5554.165922666667</v>
      </c>
      <c r="H320" s="242" t="s">
        <v>710</v>
      </c>
      <c r="I320" s="440">
        <f>'G - General Pay Plan'!$H$1</f>
        <v>2017</v>
      </c>
    </row>
    <row r="321" spans="1:9" s="3" customFormat="1" x14ac:dyDescent="0.2">
      <c r="A321" s="242" t="str">
        <f>'G - General Pay Plan'!C103</f>
        <v>ING241</v>
      </c>
      <c r="B321" t="str">
        <f>('G - General Pay Plan'!D103)</f>
        <v>TECHNOLOGY BUSINESS ANALYST 2</v>
      </c>
      <c r="C321" s="242" t="str">
        <f>'G - General Pay Plan'!A86</f>
        <v>G23</v>
      </c>
      <c r="D321" s="242" t="s">
        <v>391</v>
      </c>
      <c r="E321" s="516">
        <f>'G - General Pay Plan'!E86</f>
        <v>5158.8286342500005</v>
      </c>
      <c r="F321" s="516">
        <f>'G - General Pay Plan'!F86</f>
        <v>6138.7468067</v>
      </c>
      <c r="G321" s="516">
        <f>'G - General Pay Plan'!G86</f>
        <v>7118.6649706666658</v>
      </c>
      <c r="H321" s="242" t="s">
        <v>710</v>
      </c>
      <c r="I321" s="440">
        <f>'G - General Pay Plan'!$H$1</f>
        <v>2017</v>
      </c>
    </row>
    <row r="322" spans="1:9" s="3" customFormat="1" x14ac:dyDescent="0.2">
      <c r="A322" s="397" t="str">
        <f>'G - General Pay Plan'!C165</f>
        <v>ING240</v>
      </c>
      <c r="B322" t="str">
        <f>('G - General Pay Plan'!D165)</f>
        <v>TECHNOLOGY BUSINESS ANALYST 3</v>
      </c>
      <c r="C322" s="397" t="str">
        <f>'G - General Pay Plan'!A146</f>
        <v>G26</v>
      </c>
      <c r="D322" s="397" t="s">
        <v>391</v>
      </c>
      <c r="E322" s="515">
        <f>'G - General Pay Plan'!E146</f>
        <v>5987.0927253500004</v>
      </c>
      <c r="F322" s="515">
        <f>'G - General Pay Plan'!F146</f>
        <v>7123.8498313000009</v>
      </c>
      <c r="G322" s="515">
        <f>'G - General Pay Plan'!G146</f>
        <v>8260.6069372500006</v>
      </c>
      <c r="H322" s="397" t="s">
        <v>710</v>
      </c>
      <c r="I322" s="440">
        <f>'G - General Pay Plan'!$H$1</f>
        <v>2017</v>
      </c>
    </row>
    <row r="323" spans="1:9" s="3" customFormat="1" x14ac:dyDescent="0.2">
      <c r="A323" s="397" t="str">
        <f>'G - General Pay Plan'!C132</f>
        <v>ENG308</v>
      </c>
      <c r="B323" t="str">
        <f>'G - General Pay Plan'!D132</f>
        <v>TELEMETRY TECHNICIAN</v>
      </c>
      <c r="C323" s="397" t="str">
        <f>'G - General Pay Plan'!A106</f>
        <v>G24</v>
      </c>
      <c r="D323" s="397" t="s">
        <v>391</v>
      </c>
      <c r="E323" s="515">
        <f>'G - General Pay Plan'!E106</f>
        <v>5421.9553019833338</v>
      </c>
      <c r="F323" s="515">
        <f>'G - General Pay Plan'!F106</f>
        <v>6451.7769118166661</v>
      </c>
      <c r="G323" s="515">
        <f>'G - General Pay Plan'!G106</f>
        <v>7481.5985301333321</v>
      </c>
      <c r="H323" s="397" t="s">
        <v>711</v>
      </c>
      <c r="I323" s="440">
        <f>'G - General Pay Plan'!$H$1</f>
        <v>2017</v>
      </c>
    </row>
    <row r="324" spans="1:9" s="3" customFormat="1" x14ac:dyDescent="0.2">
      <c r="A324" s="242" t="str">
        <f>'G - General Pay Plan'!C142</f>
        <v>ENG310</v>
      </c>
      <c r="B324" t="str">
        <f>'G - General Pay Plan'!D142</f>
        <v>TELEMETRY TECHNICIAN LEAD</v>
      </c>
      <c r="C324" s="242" t="str">
        <f>'G - General Pay Plan'!A135</f>
        <v>G25</v>
      </c>
      <c r="D324" s="433" t="s">
        <v>391</v>
      </c>
      <c r="E324" s="516">
        <f>'G - General Pay Plan'!E135</f>
        <v>5699.3391530333329</v>
      </c>
      <c r="F324" s="516">
        <f>'G - General Pay Plan'!F135</f>
        <v>6780.3601990833331</v>
      </c>
      <c r="G324" s="516">
        <f>'G - General Pay Plan'!G135</f>
        <v>7861.3812366499997</v>
      </c>
      <c r="H324" s="433" t="s">
        <v>711</v>
      </c>
      <c r="I324" s="440">
        <f>'G - General Pay Plan'!$H$1</f>
        <v>2017</v>
      </c>
    </row>
    <row r="325" spans="1:9" s="3" customFormat="1" x14ac:dyDescent="0.2">
      <c r="A325" s="397" t="str">
        <f>'G - General Pay Plan'!C198</f>
        <v>HNG205</v>
      </c>
      <c r="B325" t="str">
        <f>'G - General Pay Plan'!D198</f>
        <v>TRAINING &amp; ORGANIZATION DEVELOPMENT COORD</v>
      </c>
      <c r="C325" s="397" t="str">
        <f>'G - General Pay Plan'!A188</f>
        <v>G28</v>
      </c>
      <c r="D325" s="397" t="s">
        <v>391</v>
      </c>
      <c r="E325" s="515">
        <f>'G - General Pay Plan'!E188</f>
        <v>6611.8555624500004</v>
      </c>
      <c r="F325" s="515">
        <f>'G - General Pay Plan'!F188</f>
        <v>7867.2138591666662</v>
      </c>
      <c r="G325" s="515">
        <f>'G - General Pay Plan'!G188</f>
        <v>9122.5721474000002</v>
      </c>
      <c r="H325" s="397" t="s">
        <v>710</v>
      </c>
      <c r="I325" s="440">
        <f>'G - General Pay Plan'!$H$1</f>
        <v>2017</v>
      </c>
    </row>
    <row r="326" spans="1:9" s="3" customFormat="1" x14ac:dyDescent="0.2">
      <c r="A326" s="397" t="str">
        <f>'G - General Pay Plan'!C185</f>
        <v>DNG218</v>
      </c>
      <c r="B326" t="str">
        <f>'G - General Pay Plan'!D185</f>
        <v>TRANSPORTATION ANALYST</v>
      </c>
      <c r="C326" s="397" t="str">
        <f>'G - General Pay Plan'!A167</f>
        <v>G27</v>
      </c>
      <c r="D326" s="397" t="s">
        <v>391</v>
      </c>
      <c r="E326" s="515">
        <f>'G - General Pay Plan'!E167</f>
        <v>6291.6973280166667</v>
      </c>
      <c r="F326" s="515">
        <f>'G - General Pay Plan'!F167</f>
        <v>7486.7829241833342</v>
      </c>
      <c r="G326" s="515">
        <f>'G - General Pay Plan'!G167</f>
        <v>8681.8685118666672</v>
      </c>
      <c r="H326" s="397" t="s">
        <v>710</v>
      </c>
      <c r="I326" s="440">
        <f>'G - General Pay Plan'!$H$1</f>
        <v>2017</v>
      </c>
    </row>
    <row r="327" spans="1:9" s="3" customFormat="1" x14ac:dyDescent="0.2">
      <c r="A327" s="397" t="str">
        <f>'G - General Pay Plan'!C259</f>
        <v>ENG216</v>
      </c>
      <c r="B327" t="str">
        <f>'G - General Pay Plan'!D259</f>
        <v>TRANSPORTATION CONSTRUCTION MGR</v>
      </c>
      <c r="C327" s="397" t="str">
        <f>'G - General Pay Plan'!A252</f>
        <v>G32</v>
      </c>
      <c r="D327" s="397" t="s">
        <v>391</v>
      </c>
      <c r="E327" s="515">
        <f>'G - General Pay Plan'!E252</f>
        <v>8062.2905354000004</v>
      </c>
      <c r="F327" s="515">
        <f>'G - General Pay Plan'!F252</f>
        <v>9593.7367013000003</v>
      </c>
      <c r="G327" s="515">
        <f>'G - General Pay Plan'!G252</f>
        <v>11125.182867199999</v>
      </c>
      <c r="H327" s="397" t="s">
        <v>710</v>
      </c>
      <c r="I327" s="440">
        <f>'G - General Pay Plan'!$H$1</f>
        <v>2017</v>
      </c>
    </row>
    <row r="328" spans="1:9" s="3" customFormat="1" x14ac:dyDescent="0.2">
      <c r="A328" s="397" t="str">
        <f>'G - General Pay Plan'!C248</f>
        <v>DNG219</v>
      </c>
      <c r="B328" s="3" t="str">
        <f>'G - General Pay Plan'!D248</f>
        <v>TRANSPORTATION FORECASTING MANAGER</v>
      </c>
      <c r="C328" s="397" t="str">
        <f>'G - General Pay Plan'!A238</f>
        <v>G31</v>
      </c>
      <c r="D328" s="397" t="s">
        <v>391</v>
      </c>
      <c r="E328" s="515">
        <f>'G - General Pay Plan'!E238</f>
        <v>7672.1381076166663</v>
      </c>
      <c r="F328" s="515">
        <f>'G - General Pay Plan'!F238</f>
        <v>9129.701676466666</v>
      </c>
      <c r="G328" s="515">
        <f>'G - General Pay Plan'!G238</f>
        <v>10587.265245316668</v>
      </c>
      <c r="H328" s="397" t="s">
        <v>710</v>
      </c>
      <c r="I328" s="440">
        <f>'G - General Pay Plan'!$H$1</f>
        <v>2017</v>
      </c>
    </row>
    <row r="329" spans="1:9" s="3" customFormat="1" x14ac:dyDescent="0.2">
      <c r="A329" s="397" t="str">
        <f>'G - General Pay Plan'!C234</f>
        <v>MNG212</v>
      </c>
      <c r="B329" s="77" t="str">
        <f>'G - General Pay Plan'!D234</f>
        <v>TRANSPORTATION OPERATIONS &amp; MAINTENANCE MGR</v>
      </c>
      <c r="C329" s="397" t="str">
        <f>'G - General Pay Plan'!A212</f>
        <v>G30</v>
      </c>
      <c r="D329" s="72" t="s">
        <v>391</v>
      </c>
      <c r="E329" s="515">
        <f>'G - General Pay Plan'!E212</f>
        <v>7301.4277322666667</v>
      </c>
      <c r="F329" s="515">
        <f>'G - General Pay Plan'!F212</f>
        <v>8687.7011343833346</v>
      </c>
      <c r="G329" s="515">
        <f>'G - General Pay Plan'!G212</f>
        <v>10073.974528016666</v>
      </c>
      <c r="H329" s="72" t="s">
        <v>710</v>
      </c>
      <c r="I329" s="440">
        <f>'G - General Pay Plan'!$H$1</f>
        <v>2017</v>
      </c>
    </row>
    <row r="330" spans="1:9" s="3" customFormat="1" x14ac:dyDescent="0.2">
      <c r="A330" s="397" t="str">
        <f>'G - General Pay Plan'!C249</f>
        <v>DNG220</v>
      </c>
      <c r="B330" s="3" t="str">
        <f>'G - General Pay Plan'!D249</f>
        <v>TRANSPORTATION POLICY ADVISOR</v>
      </c>
      <c r="C330" s="397" t="str">
        <f>'G - General Pay Plan'!A238</f>
        <v>G31</v>
      </c>
      <c r="D330" s="397" t="s">
        <v>391</v>
      </c>
      <c r="E330" s="515">
        <f>'G - General Pay Plan'!E238</f>
        <v>7672.1381076166663</v>
      </c>
      <c r="F330" s="515">
        <f>'G - General Pay Plan'!F238</f>
        <v>9129.701676466666</v>
      </c>
      <c r="G330" s="515">
        <f>'G - General Pay Plan'!G238</f>
        <v>10587.265245316668</v>
      </c>
      <c r="H330" s="397" t="s">
        <v>710</v>
      </c>
      <c r="I330" s="440">
        <f>'G - General Pay Plan'!$H$1</f>
        <v>2017</v>
      </c>
    </row>
    <row r="331" spans="1:9" s="3" customFormat="1" x14ac:dyDescent="0.2">
      <c r="A331" s="397" t="str">
        <f>'G - General Pay Plan'!C235</f>
        <v>ENG215</v>
      </c>
      <c r="B331" s="58" t="str">
        <f>'G - General Pay Plan'!D235</f>
        <v>TRANSPORTATION STRATEGIC ENGINEERING ADVISOR</v>
      </c>
      <c r="C331" s="397" t="str">
        <f>'G - General Pay Plan'!A212</f>
        <v>G30</v>
      </c>
      <c r="D331" s="44" t="s">
        <v>391</v>
      </c>
      <c r="E331" s="515">
        <f>'G - General Pay Plan'!E212</f>
        <v>7301.4277322666667</v>
      </c>
      <c r="F331" s="515">
        <f>'G - General Pay Plan'!F212</f>
        <v>8687.7011343833346</v>
      </c>
      <c r="G331" s="515">
        <f>'G - General Pay Plan'!G212</f>
        <v>10073.974528016666</v>
      </c>
      <c r="H331" s="44" t="s">
        <v>710</v>
      </c>
      <c r="I331" s="440">
        <f>'G - General Pay Plan'!$H$1</f>
        <v>2017</v>
      </c>
    </row>
    <row r="332" spans="1:9" s="3" customFormat="1" x14ac:dyDescent="0.2">
      <c r="A332" s="397" t="str">
        <f>'G - General Pay Plan'!C199</f>
        <v>ANG211</v>
      </c>
      <c r="B332" t="str">
        <f>'G - General Pay Plan'!D199</f>
        <v>UTILITIES ADMINISTRATION &amp; OPERATIONS MANAGER</v>
      </c>
      <c r="C332" s="397" t="str">
        <f>'G - General Pay Plan'!A188</f>
        <v>G28</v>
      </c>
      <c r="D332" s="397" t="s">
        <v>391</v>
      </c>
      <c r="E332" s="515">
        <f>'G - General Pay Plan'!E188</f>
        <v>6611.8555624500004</v>
      </c>
      <c r="F332" s="515">
        <f>'G - General Pay Plan'!F188</f>
        <v>7867.2138591666662</v>
      </c>
      <c r="G332" s="515">
        <f>'G - General Pay Plan'!G188</f>
        <v>9122.5721474000002</v>
      </c>
      <c r="H332" s="397" t="s">
        <v>710</v>
      </c>
      <c r="I332" s="440">
        <f>'G - General Pay Plan'!$H$1</f>
        <v>2017</v>
      </c>
    </row>
    <row r="333" spans="1:9" s="3" customFormat="1" x14ac:dyDescent="0.2">
      <c r="A333" s="397" t="str">
        <f>'G - General Pay Plan'!C143</f>
        <v>ANG213</v>
      </c>
      <c r="B333" t="str">
        <f>'G - General Pay Plan'!D143</f>
        <v>UTILITIES BILLING MANAGER</v>
      </c>
      <c r="C333" s="397" t="str">
        <f>'G - General Pay Plan'!A135</f>
        <v>G25</v>
      </c>
      <c r="D333" s="397" t="s">
        <v>391</v>
      </c>
      <c r="E333" s="515">
        <f>'G - General Pay Plan'!E135</f>
        <v>5699.3391530333329</v>
      </c>
      <c r="F333" s="515">
        <f>'G - General Pay Plan'!F135</f>
        <v>6780.3601990833331</v>
      </c>
      <c r="G333" s="515">
        <f>'G - General Pay Plan'!G135</f>
        <v>7861.3812366499997</v>
      </c>
      <c r="H333" s="397" t="s">
        <v>710</v>
      </c>
      <c r="I333" s="440">
        <f>'G - General Pay Plan'!$H$1</f>
        <v>2017</v>
      </c>
    </row>
    <row r="334" spans="1:9" s="3" customFormat="1" x14ac:dyDescent="0.2">
      <c r="A334" s="397" t="str">
        <f>'G - General Pay Plan'!C236</f>
        <v>MNG208</v>
      </c>
      <c r="B334" t="str">
        <f>'G - General Pay Plan'!D236</f>
        <v>UTILITIES OPERATIONS &amp; MAINTENANCE MANAGER</v>
      </c>
      <c r="C334" s="397" t="str">
        <f>'G - General Pay Plan'!A212</f>
        <v>G30</v>
      </c>
      <c r="D334" s="397" t="s">
        <v>391</v>
      </c>
      <c r="E334" s="515">
        <f>'G - General Pay Plan'!E212</f>
        <v>7301.4277322666667</v>
      </c>
      <c r="F334" s="515">
        <f>'G - General Pay Plan'!F212</f>
        <v>8687.7011343833346</v>
      </c>
      <c r="G334" s="515">
        <f>'G - General Pay Plan'!G212</f>
        <v>10073.974528016666</v>
      </c>
      <c r="H334" s="397" t="s">
        <v>710</v>
      </c>
      <c r="I334" s="440">
        <f>'G - General Pay Plan'!$H$1</f>
        <v>2017</v>
      </c>
    </row>
    <row r="335" spans="1:9" s="3" customFormat="1" x14ac:dyDescent="0.2">
      <c r="A335" s="397" t="str">
        <f>'G - General Pay Plan'!C250</f>
        <v>DNG221</v>
      </c>
      <c r="B335" s="3" t="str">
        <f>'G - General Pay Plan'!D250</f>
        <v>UTILITIES POLICY ADVISOR</v>
      </c>
      <c r="C335" s="397" t="str">
        <f>'G - General Pay Plan'!A238</f>
        <v>G31</v>
      </c>
      <c r="D335" s="397" t="s">
        <v>391</v>
      </c>
      <c r="E335" s="515">
        <f>'G - General Pay Plan'!E238</f>
        <v>7672.1381076166663</v>
      </c>
      <c r="F335" s="515">
        <f>'G - General Pay Plan'!F238</f>
        <v>9129.701676466666</v>
      </c>
      <c r="G335" s="515">
        <f>'G - General Pay Plan'!G238</f>
        <v>10587.265245316668</v>
      </c>
      <c r="H335" s="397" t="s">
        <v>710</v>
      </c>
      <c r="I335" s="440">
        <f>'G - General Pay Plan'!$H$1</f>
        <v>2017</v>
      </c>
    </row>
    <row r="336" spans="1:9" s="3" customFormat="1" x14ac:dyDescent="0.2">
      <c r="A336" s="397" t="str">
        <f>'G - General Pay Plan'!C144</f>
        <v>DNG223</v>
      </c>
      <c r="B336" t="str">
        <f>'G - General Pay Plan'!D144</f>
        <v>UTILITIES REVIEW PROFESSIONAL</v>
      </c>
      <c r="C336" s="397" t="str">
        <f>'G - General Pay Plan'!A135</f>
        <v>G25</v>
      </c>
      <c r="D336" s="397" t="s">
        <v>391</v>
      </c>
      <c r="E336" s="515">
        <f>'G - General Pay Plan'!E135</f>
        <v>5699.3391530333329</v>
      </c>
      <c r="F336" s="515">
        <f>'G - General Pay Plan'!F135</f>
        <v>6780.3601990833331</v>
      </c>
      <c r="G336" s="515">
        <f>'G - General Pay Plan'!G135</f>
        <v>7861.3812366499997</v>
      </c>
      <c r="H336" s="397" t="s">
        <v>710</v>
      </c>
      <c r="I336" s="440">
        <f>'G - General Pay Plan'!$H$1</f>
        <v>2017</v>
      </c>
    </row>
    <row r="337" spans="1:9" s="3" customFormat="1" x14ac:dyDescent="0.2">
      <c r="A337" s="397" t="str">
        <f>'G - General Pay Plan'!C186</f>
        <v>MNG207</v>
      </c>
      <c r="B337" t="str">
        <f>'G - General Pay Plan'!D186</f>
        <v>UTILITIES SUPERINTENDENT</v>
      </c>
      <c r="C337" s="397" t="str">
        <f>'G - General Pay Plan'!A167</f>
        <v>G27</v>
      </c>
      <c r="D337" s="397" t="s">
        <v>391</v>
      </c>
      <c r="E337" s="515">
        <f>'G - General Pay Plan'!E167</f>
        <v>6291.6973280166667</v>
      </c>
      <c r="F337" s="515">
        <f>'G - General Pay Plan'!F167</f>
        <v>7486.7829241833342</v>
      </c>
      <c r="G337" s="515">
        <f>'G - General Pay Plan'!G167</f>
        <v>8681.8685118666672</v>
      </c>
      <c r="H337" s="397" t="s">
        <v>710</v>
      </c>
      <c r="I337" s="440">
        <f>'G - General Pay Plan'!$H$1</f>
        <v>2017</v>
      </c>
    </row>
    <row r="338" spans="1:9" s="3" customFormat="1" x14ac:dyDescent="0.2">
      <c r="A338" s="397" t="str">
        <f>'G - General Pay Plan'!C104</f>
        <v>GNG207</v>
      </c>
      <c r="B338" t="str">
        <f>'G - General Pay Plan'!D104</f>
        <v>VOLUNTEER PROGRAM COORDINATOR</v>
      </c>
      <c r="C338" s="397" t="str">
        <f>'G - General Pay Plan'!A86</f>
        <v>G23</v>
      </c>
      <c r="D338" s="397" t="s">
        <v>391</v>
      </c>
      <c r="E338" s="515">
        <f>'G - General Pay Plan'!E86</f>
        <v>5158.8286342500005</v>
      </c>
      <c r="F338" s="515">
        <f>'G - General Pay Plan'!F86</f>
        <v>6138.7468067</v>
      </c>
      <c r="G338" s="515">
        <f>'G - General Pay Plan'!G86</f>
        <v>7118.6649706666658</v>
      </c>
      <c r="H338" s="397" t="s">
        <v>710</v>
      </c>
      <c r="I338" s="440">
        <f>'G - General Pay Plan'!$H$1</f>
        <v>2017</v>
      </c>
    </row>
    <row r="339" spans="1:9" s="3" customFormat="1" x14ac:dyDescent="0.2">
      <c r="A339" s="397" t="str">
        <f>'G - General Pay Plan'!C200</f>
        <v>ENG211</v>
      </c>
      <c r="B339" t="str">
        <f>'G - General Pay Plan'!D200</f>
        <v>WATER QUALITY SUPERVISOR</v>
      </c>
      <c r="C339" s="397" t="str">
        <f>'G - General Pay Plan'!A188</f>
        <v>G28</v>
      </c>
      <c r="D339" s="397" t="s">
        <v>391</v>
      </c>
      <c r="E339" s="515">
        <f>'G - General Pay Plan'!E188</f>
        <v>6611.8555624500004</v>
      </c>
      <c r="F339" s="515">
        <f>'G - General Pay Plan'!F188</f>
        <v>7867.2138591666662</v>
      </c>
      <c r="G339" s="515">
        <f>'G - General Pay Plan'!G188</f>
        <v>9122.5721474000002</v>
      </c>
      <c r="H339" s="397" t="s">
        <v>710</v>
      </c>
      <c r="I339" s="440">
        <f>'G - General Pay Plan'!$H$1</f>
        <v>2017</v>
      </c>
    </row>
    <row r="340" spans="1:9" s="3" customFormat="1" x14ac:dyDescent="0.2">
      <c r="A340" s="73" t="str">
        <f>'I -Signals &amp; Electronics (rep)'!B23</f>
        <v>MRI702</v>
      </c>
      <c r="B340" t="str">
        <f>'I -Signals &amp; Electronics (rep)'!C23</f>
        <v>WORKING CHIEF</v>
      </c>
      <c r="C340" s="73" t="str">
        <f>'I -Signals &amp; Electronics (rep)'!A23</f>
        <v>I06</v>
      </c>
      <c r="D340" s="73">
        <v>4</v>
      </c>
      <c r="E340" s="74">
        <f>'I -Signals &amp; Electronics (rep)'!F23</f>
        <v>7152.6731473599984</v>
      </c>
      <c r="F340" s="74">
        <f>(E340+G340)/2</f>
        <v>7717.0788967999997</v>
      </c>
      <c r="G340" s="74">
        <f>'I -Signals &amp; Electronics (rep)'!I23</f>
        <v>8281.4846462400001</v>
      </c>
      <c r="H340" s="73" t="s">
        <v>711</v>
      </c>
      <c r="I340" s="439">
        <f>'I -Signals &amp; Electronics (rep)'!J1</f>
        <v>2017</v>
      </c>
    </row>
    <row r="341" spans="1:9" s="3" customFormat="1" x14ac:dyDescent="0.2">
      <c r="A341" s="73"/>
      <c r="B341"/>
      <c r="C341" s="73"/>
      <c r="D341" s="73"/>
      <c r="E341" s="74"/>
      <c r="F341" s="74"/>
      <c r="G341" s="74"/>
      <c r="H341" s="73"/>
      <c r="I341" s="440"/>
    </row>
    <row r="342" spans="1:9" s="3" customFormat="1" x14ac:dyDescent="0.2">
      <c r="A342" s="73"/>
      <c r="B342"/>
      <c r="C342" s="73"/>
      <c r="D342" s="73"/>
      <c r="E342" s="74"/>
      <c r="F342" s="74"/>
      <c r="G342" s="74"/>
      <c r="H342" s="73"/>
      <c r="I342" s="440"/>
    </row>
    <row r="343" spans="1:9" ht="13.5" thickBot="1" x14ac:dyDescent="0.25">
      <c r="B343" t="s">
        <v>864</v>
      </c>
    </row>
    <row r="344" spans="1:9" ht="45.75" thickBot="1" x14ac:dyDescent="0.25">
      <c r="B344" s="53" t="s">
        <v>838</v>
      </c>
      <c r="C344" s="54" t="s">
        <v>839</v>
      </c>
      <c r="D344" s="54" t="s">
        <v>840</v>
      </c>
      <c r="E344" s="54" t="s">
        <v>841</v>
      </c>
      <c r="F344" s="54" t="s">
        <v>842</v>
      </c>
      <c r="G344" s="54" t="s">
        <v>842</v>
      </c>
    </row>
    <row r="345" spans="1:9" ht="30" x14ac:dyDescent="0.2">
      <c r="B345" s="537" t="s">
        <v>843</v>
      </c>
      <c r="C345" s="55" t="s">
        <v>844</v>
      </c>
      <c r="D345" s="537" t="s">
        <v>848</v>
      </c>
      <c r="E345" s="537"/>
      <c r="F345" s="537"/>
      <c r="G345" s="537"/>
    </row>
    <row r="346" spans="1:9" ht="30" x14ac:dyDescent="0.2">
      <c r="B346" s="538"/>
      <c r="C346" s="55" t="s">
        <v>845</v>
      </c>
      <c r="D346" s="538"/>
      <c r="E346" s="538"/>
      <c r="F346" s="538"/>
      <c r="G346" s="538"/>
    </row>
    <row r="347" spans="1:9" ht="15" x14ac:dyDescent="0.2">
      <c r="B347" s="538"/>
      <c r="C347" s="55" t="s">
        <v>846</v>
      </c>
      <c r="D347" s="538"/>
      <c r="E347" s="538"/>
      <c r="F347" s="538"/>
      <c r="G347" s="538"/>
    </row>
    <row r="348" spans="1:9" ht="15.75" thickBot="1" x14ac:dyDescent="0.25">
      <c r="B348" s="539"/>
      <c r="C348" s="56" t="s">
        <v>847</v>
      </c>
      <c r="D348" s="539"/>
      <c r="E348" s="539"/>
      <c r="F348" s="539"/>
      <c r="G348" s="539"/>
    </row>
    <row r="349" spans="1:9" ht="15.75" thickBot="1" x14ac:dyDescent="0.25">
      <c r="B349" s="57" t="s">
        <v>849</v>
      </c>
      <c r="C349" s="56"/>
      <c r="D349" s="56"/>
      <c r="E349" s="56"/>
      <c r="F349" s="56"/>
      <c r="G349" s="56"/>
    </row>
    <row r="350" spans="1:9" ht="15.75" thickBot="1" x14ac:dyDescent="0.25">
      <c r="B350" s="57" t="s">
        <v>850</v>
      </c>
      <c r="C350" s="56"/>
      <c r="D350" s="56"/>
      <c r="E350" s="56"/>
      <c r="F350" s="56"/>
      <c r="G350" s="56"/>
    </row>
    <row r="351" spans="1:9" ht="15.75" thickBot="1" x14ac:dyDescent="0.25">
      <c r="B351" s="57" t="s">
        <v>851</v>
      </c>
      <c r="C351" s="56"/>
      <c r="D351" s="56"/>
      <c r="E351" s="56"/>
      <c r="F351" s="56"/>
      <c r="G351" s="56"/>
    </row>
    <row r="352" spans="1:9" ht="15.75" thickBot="1" x14ac:dyDescent="0.25">
      <c r="B352" s="57" t="s">
        <v>852</v>
      </c>
      <c r="C352" s="56"/>
      <c r="D352" s="56"/>
      <c r="E352" s="56"/>
      <c r="F352" s="56"/>
      <c r="G352" s="56"/>
    </row>
    <row r="353" spans="2:7" ht="15.75" thickBot="1" x14ac:dyDescent="0.25">
      <c r="B353" s="57" t="s">
        <v>853</v>
      </c>
      <c r="C353" s="56"/>
      <c r="D353" s="56"/>
      <c r="E353" s="56"/>
      <c r="F353" s="56"/>
      <c r="G353" s="56"/>
    </row>
    <row r="354" spans="2:7" ht="15.75" thickBot="1" x14ac:dyDescent="0.25">
      <c r="B354" s="57" t="s">
        <v>854</v>
      </c>
      <c r="C354" s="56"/>
      <c r="D354" s="56"/>
      <c r="E354" s="56"/>
      <c r="F354" s="56"/>
      <c r="G354" s="56"/>
    </row>
    <row r="355" spans="2:7" ht="15.75" thickBot="1" x14ac:dyDescent="0.25">
      <c r="B355" s="57" t="s">
        <v>855</v>
      </c>
      <c r="C355" s="56"/>
      <c r="D355" s="56"/>
      <c r="E355" s="56"/>
      <c r="F355" s="56"/>
      <c r="G355" s="56"/>
    </row>
    <row r="356" spans="2:7" ht="15.75" thickBot="1" x14ac:dyDescent="0.25">
      <c r="B356" s="57" t="s">
        <v>856</v>
      </c>
      <c r="C356" s="56"/>
      <c r="D356" s="56"/>
      <c r="E356" s="56"/>
      <c r="F356" s="56"/>
      <c r="G356" s="56"/>
    </row>
    <row r="357" spans="2:7" ht="15.75" thickBot="1" x14ac:dyDescent="0.25">
      <c r="B357" s="57" t="s">
        <v>857</v>
      </c>
      <c r="C357" s="56"/>
      <c r="D357" s="56"/>
      <c r="E357" s="56"/>
      <c r="F357" s="56"/>
      <c r="G357" s="56"/>
    </row>
    <row r="358" spans="2:7" ht="15.75" thickBot="1" x14ac:dyDescent="0.25">
      <c r="B358" s="57" t="s">
        <v>858</v>
      </c>
      <c r="C358" s="56"/>
      <c r="D358" s="56"/>
      <c r="E358" s="56"/>
      <c r="F358" s="56"/>
      <c r="G358" s="56"/>
    </row>
    <row r="359" spans="2:7" ht="15.75" thickBot="1" x14ac:dyDescent="0.25">
      <c r="B359" s="57" t="s">
        <v>859</v>
      </c>
      <c r="C359" s="56"/>
      <c r="D359" s="56"/>
      <c r="E359" s="56"/>
      <c r="F359" s="56"/>
      <c r="G359" s="56"/>
    </row>
    <row r="360" spans="2:7" ht="15.75" thickBot="1" x14ac:dyDescent="0.25">
      <c r="B360" s="57" t="s">
        <v>860</v>
      </c>
      <c r="C360" s="56"/>
      <c r="D360" s="56"/>
      <c r="E360" s="56"/>
      <c r="F360" s="56"/>
      <c r="G360" s="56"/>
    </row>
    <row r="361" spans="2:7" ht="15.75" thickBot="1" x14ac:dyDescent="0.25">
      <c r="B361" s="57" t="s">
        <v>861</v>
      </c>
      <c r="C361" s="56"/>
      <c r="D361" s="56"/>
      <c r="E361" s="56"/>
      <c r="F361" s="56"/>
      <c r="G361" s="56"/>
    </row>
    <row r="362" spans="2:7" ht="15.75" thickBot="1" x14ac:dyDescent="0.25">
      <c r="B362" s="57" t="s">
        <v>862</v>
      </c>
      <c r="C362" s="56"/>
      <c r="D362" s="56"/>
      <c r="E362" s="56"/>
      <c r="F362" s="56"/>
      <c r="G362" s="56"/>
    </row>
    <row r="363" spans="2:7" ht="15.75" thickBot="1" x14ac:dyDescent="0.25">
      <c r="B363" s="57" t="s">
        <v>863</v>
      </c>
      <c r="C363" s="56"/>
      <c r="D363" s="56"/>
      <c r="E363" s="56"/>
      <c r="F363" s="56"/>
      <c r="G363" s="56"/>
    </row>
    <row r="365" spans="2:7" ht="30" x14ac:dyDescent="0.2">
      <c r="B365" s="528" t="s">
        <v>1078</v>
      </c>
    </row>
  </sheetData>
  <sortState ref="A2:I340">
    <sortCondition ref="B1"/>
  </sortState>
  <customSheetViews>
    <customSheetView guid="{03674138-A9FA-46A6-AB09-A74C70852C0D}" showPageBreaks="1" fitToPage="1" printArea="1" state="hidden" view="pageLayout">
      <selection activeCell="B6" sqref="B6"/>
      <pageMargins left="0.5" right="0.5" top="0.75" bottom="0.75" header="0.5" footer="0.5"/>
      <printOptions horizontalCentered="1" gridLines="1"/>
      <pageSetup scale="78" fitToHeight="11" orientation="portrait" r:id="rId1"/>
      <headerFooter alignWithMargins="0">
        <oddHeader>&amp;LCITY OF BELLEVUE&amp;C&amp;"Arial,Bold"&amp;12 2016 JOB TITLE TABLE</oddHeader>
        <oddFooter>&amp;CPage &amp;P of &amp;N</oddFooter>
      </headerFooter>
    </customSheetView>
    <customSheetView guid="{6140C585-A678-4296-91B8-0C17DF653D09}" showPageBreaks="1" fitToPage="1" printArea="1" view="pageLayout" topLeftCell="A31">
      <selection activeCell="B6" sqref="B6"/>
      <pageMargins left="0.5" right="0.5" top="0.75" bottom="0.75" header="0.5" footer="0.5"/>
      <printOptions horizontalCentered="1" gridLines="1"/>
      <pageSetup scale="79" fitToHeight="11" orientation="portrait" r:id="rId2"/>
      <headerFooter alignWithMargins="0">
        <oddHeader>&amp;LCITY OF BELLEVUE&amp;C&amp;"Arial,Bold"&amp;12 2016 JOB TITLE TABLE</oddHeader>
        <oddFooter>&amp;CPage &amp;P of &amp;N</oddFooter>
      </headerFooter>
    </customSheetView>
    <customSheetView guid="{49073133-97C6-4E81-BEFE-D9E658C173F7}" showPageBreaks="1" fitToPage="1" printArea="1" view="pageLayout" topLeftCell="A31">
      <selection activeCell="B6" sqref="B6"/>
      <pageMargins left="0.5" right="0.5" top="0.75" bottom="0.75" header="0.5" footer="0.5"/>
      <printOptions horizontalCentered="1" gridLines="1"/>
      <pageSetup scale="79" fitToHeight="11" orientation="portrait" r:id="rId3"/>
      <headerFooter alignWithMargins="0">
        <oddHeader>&amp;LCITY OF BELLEVUE&amp;C&amp;"Arial,Bold"&amp;12 2016 JOB TITLE TABLE</oddHeader>
        <oddFooter>&amp;CPage &amp;P of &amp;N</oddFooter>
      </headerFooter>
    </customSheetView>
  </customSheetViews>
  <mergeCells count="5">
    <mergeCell ref="D345:D348"/>
    <mergeCell ref="F345:F348"/>
    <mergeCell ref="G345:G348"/>
    <mergeCell ref="B345:B348"/>
    <mergeCell ref="E345:E348"/>
  </mergeCells>
  <phoneticPr fontId="7" type="noConversion"/>
  <printOptions horizontalCentered="1" gridLines="1"/>
  <pageMargins left="0.5" right="0.5" top="0.75" bottom="0.75" header="0.5" footer="0.5"/>
  <pageSetup scale="75" fitToHeight="11" orientation="portrait" r:id="rId4"/>
  <headerFooter alignWithMargins="0">
    <oddHeader>&amp;LCITY OF BELLEVUE&amp;C&amp;"Arial,Bold"&amp;12 2017 JOB TITLE TABLE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308"/>
  <sheetViews>
    <sheetView view="pageLayout" topLeftCell="B1" zoomScaleNormal="100" workbookViewId="0">
      <selection activeCell="E197" sqref="E197"/>
    </sheetView>
  </sheetViews>
  <sheetFormatPr defaultColWidth="9.140625" defaultRowHeight="12.75" x14ac:dyDescent="0.2"/>
  <cols>
    <col min="1" max="1" width="5" style="249" customWidth="1"/>
    <col min="2" max="2" width="1.7109375" style="249" bestFit="1" customWidth="1"/>
    <col min="3" max="3" width="8.28515625" style="249" customWidth="1"/>
    <col min="4" max="4" width="43.5703125" style="253" customWidth="1"/>
    <col min="5" max="5" width="11" style="257" customWidth="1"/>
    <col min="6" max="6" width="13.85546875" style="257" customWidth="1"/>
    <col min="7" max="7" width="12.42578125" style="257" bestFit="1" customWidth="1"/>
    <col min="8" max="8" width="9.85546875" style="253" bestFit="1" customWidth="1"/>
    <col min="9" max="10" width="9.85546875" style="253" customWidth="1"/>
    <col min="11" max="11" width="17.140625" style="253" bestFit="1" customWidth="1"/>
    <col min="12" max="14" width="9.28515625" style="253" bestFit="1" customWidth="1"/>
    <col min="15" max="16384" width="9.140625" style="253"/>
  </cols>
  <sheetData>
    <row r="1" spans="1:14" s="318" customFormat="1" x14ac:dyDescent="0.2">
      <c r="A1" s="563" t="s">
        <v>559</v>
      </c>
      <c r="B1" s="565"/>
      <c r="C1" s="565" t="s">
        <v>0</v>
      </c>
      <c r="D1" s="565" t="s">
        <v>1</v>
      </c>
      <c r="E1" s="586" t="s">
        <v>381</v>
      </c>
      <c r="F1" s="586" t="s">
        <v>383</v>
      </c>
      <c r="G1" s="586" t="s">
        <v>382</v>
      </c>
      <c r="H1" s="399">
        <v>2017</v>
      </c>
      <c r="I1" s="330"/>
      <c r="J1" s="330"/>
      <c r="K1" s="331" t="s">
        <v>1062</v>
      </c>
      <c r="L1" s="332"/>
      <c r="M1" s="332"/>
    </row>
    <row r="2" spans="1:14" s="321" customFormat="1" x14ac:dyDescent="0.2">
      <c r="A2" s="564"/>
      <c r="B2" s="564"/>
      <c r="C2" s="564"/>
      <c r="D2" s="566"/>
      <c r="E2" s="587"/>
      <c r="F2" s="587"/>
      <c r="G2" s="587"/>
      <c r="H2" s="398"/>
      <c r="I2" s="333"/>
      <c r="J2" s="333"/>
      <c r="K2" s="334">
        <v>1.018</v>
      </c>
      <c r="L2" s="320" t="s">
        <v>466</v>
      </c>
      <c r="M2" s="320" t="s">
        <v>467</v>
      </c>
      <c r="N2" s="321" t="s">
        <v>382</v>
      </c>
    </row>
    <row r="3" spans="1:14" x14ac:dyDescent="0.2">
      <c r="A3" s="249" t="s">
        <v>61</v>
      </c>
      <c r="C3" s="335" t="s">
        <v>181</v>
      </c>
      <c r="D3" s="251" t="s">
        <v>817</v>
      </c>
      <c r="E3" s="323">
        <f>E4/12</f>
        <v>1906.6666666666667</v>
      </c>
      <c r="F3" s="323">
        <f>F4/12</f>
        <v>2149.7149071250001</v>
      </c>
      <c r="G3" s="323">
        <f>G4/12</f>
        <v>2392.7631475833336</v>
      </c>
      <c r="H3" s="253" t="s">
        <v>10</v>
      </c>
      <c r="K3" s="269" t="s">
        <v>460</v>
      </c>
      <c r="L3" s="270">
        <f>(F3-E3)/E3</f>
        <v>0.12747285338723777</v>
      </c>
      <c r="M3" s="270">
        <f>(G3-F3)/F3</f>
        <v>0.11306068523448211</v>
      </c>
    </row>
    <row r="4" spans="1:14" x14ac:dyDescent="0.2">
      <c r="C4" s="501" t="s">
        <v>1072</v>
      </c>
      <c r="D4" s="253" t="s">
        <v>1068</v>
      </c>
      <c r="E4" s="336">
        <f>E5*2080</f>
        <v>22880</v>
      </c>
      <c r="F4" s="257">
        <f>(E4+G4)/2</f>
        <v>25796.578885499999</v>
      </c>
      <c r="G4" s="336">
        <f>28205.4595*$K$2</f>
        <v>28713.157771000002</v>
      </c>
      <c r="H4" s="253" t="s">
        <v>529</v>
      </c>
      <c r="K4" s="269" t="s">
        <v>461</v>
      </c>
      <c r="L4" s="270">
        <f>(G3-E3)/E3</f>
        <v>0.25494570677447564</v>
      </c>
    </row>
    <row r="5" spans="1:14" x14ac:dyDescent="0.2">
      <c r="E5" s="252">
        <v>11</v>
      </c>
      <c r="F5" s="252">
        <f>F4/2080</f>
        <v>12.402201387259614</v>
      </c>
      <c r="G5" s="252">
        <f>G4/2080</f>
        <v>13.804402774519232</v>
      </c>
      <c r="H5" s="253" t="s">
        <v>11</v>
      </c>
      <c r="K5" s="269" t="s">
        <v>462</v>
      </c>
      <c r="L5" s="270">
        <f>(E272-E3)/E3</f>
        <v>-0.1484510678248662</v>
      </c>
      <c r="M5" s="270">
        <f>(F272-F3)/F3</f>
        <v>-0.10119917257748821</v>
      </c>
      <c r="N5" s="270">
        <f>(G272-G3)/G3</f>
        <v>-6.3546631123063912E-2</v>
      </c>
    </row>
    <row r="6" spans="1:14" x14ac:dyDescent="0.2">
      <c r="E6" s="337"/>
      <c r="F6" s="338"/>
      <c r="G6" s="337"/>
    </row>
    <row r="7" spans="1:14" x14ac:dyDescent="0.2">
      <c r="A7" s="266" t="s">
        <v>174</v>
      </c>
      <c r="C7" s="250" t="s">
        <v>182</v>
      </c>
      <c r="D7" s="253" t="s">
        <v>180</v>
      </c>
      <c r="E7" s="323">
        <f>E8/12</f>
        <v>2331.84222705</v>
      </c>
      <c r="F7" s="323">
        <f>F8/12</f>
        <v>2776.4343680833335</v>
      </c>
      <c r="G7" s="323">
        <f>G8/12</f>
        <v>3221.0273320000001</v>
      </c>
      <c r="H7" s="253" t="s">
        <v>10</v>
      </c>
      <c r="K7" s="269" t="s">
        <v>460</v>
      </c>
      <c r="L7" s="270">
        <f>(F7-E7)/E7</f>
        <v>0.19066133028896404</v>
      </c>
      <c r="M7" s="270">
        <f>(G7-F7)/F7</f>
        <v>0.1601309107204231</v>
      </c>
    </row>
    <row r="8" spans="1:14" x14ac:dyDescent="0.2">
      <c r="E8" s="336">
        <f>27487.3347*$K$2</f>
        <v>27982.106724599998</v>
      </c>
      <c r="F8" s="257">
        <f>32728.1065*$K$2</f>
        <v>33317.212417000002</v>
      </c>
      <c r="G8" s="336">
        <f>37968.888*$K$2</f>
        <v>38652.327984000003</v>
      </c>
      <c r="H8" s="253" t="s">
        <v>529</v>
      </c>
      <c r="K8" s="269" t="s">
        <v>461</v>
      </c>
      <c r="L8" s="270">
        <f>(G7-E7)/E7</f>
        <v>0.38132301346772635</v>
      </c>
    </row>
    <row r="9" spans="1:14" x14ac:dyDescent="0.2">
      <c r="C9" s="266"/>
      <c r="E9" s="252">
        <f>E8/2080</f>
        <v>13.452935925288461</v>
      </c>
      <c r="F9" s="252">
        <f>F8/2080</f>
        <v>16.017890585096154</v>
      </c>
      <c r="G9" s="252">
        <f>G8/2080</f>
        <v>18.582849992307693</v>
      </c>
      <c r="H9" s="253" t="s">
        <v>11</v>
      </c>
      <c r="K9" s="269" t="s">
        <v>462</v>
      </c>
      <c r="L9" s="270">
        <f>(E11-E7)/E7</f>
        <v>5.1139658149540509E-2</v>
      </c>
      <c r="M9" s="270">
        <f>(F11-F7)/F7</f>
        <v>5.0887343574245646E-2</v>
      </c>
      <c r="N9" s="270">
        <f>(G11-G7)/G7</f>
        <v>5.0704134395508256E-2</v>
      </c>
    </row>
    <row r="10" spans="1:14" x14ac:dyDescent="0.2">
      <c r="E10" s="337"/>
      <c r="F10" s="338"/>
      <c r="G10" s="337"/>
    </row>
    <row r="11" spans="1:14" x14ac:dyDescent="0.2">
      <c r="A11" s="266" t="s">
        <v>175</v>
      </c>
      <c r="C11" s="335" t="s">
        <v>184</v>
      </c>
      <c r="D11" s="253" t="s">
        <v>21</v>
      </c>
      <c r="E11" s="323">
        <f>E12/12</f>
        <v>2451.0918414000002</v>
      </c>
      <c r="F11" s="323">
        <f>F12/12</f>
        <v>2917.7197376833337</v>
      </c>
      <c r="G11" s="323">
        <f>G12/12</f>
        <v>3384.3467347333335</v>
      </c>
      <c r="H11" s="253" t="s">
        <v>10</v>
      </c>
      <c r="K11" s="269" t="s">
        <v>460</v>
      </c>
      <c r="L11" s="270">
        <f>(F11-E11)/E11</f>
        <v>0.19037552506266256</v>
      </c>
      <c r="M11" s="270">
        <f>(G11-F11)/F11</f>
        <v>0.15992865628022968</v>
      </c>
    </row>
    <row r="12" spans="1:14" x14ac:dyDescent="0.2">
      <c r="C12" s="335"/>
      <c r="E12" s="336">
        <f>28893.0276*$K$2</f>
        <v>29413.102096800001</v>
      </c>
      <c r="F12" s="257">
        <f>34393.5529*$K$2</f>
        <v>35012.636852200005</v>
      </c>
      <c r="G12" s="336">
        <f>39894.0676*$K$2</f>
        <v>40612.160816800002</v>
      </c>
      <c r="H12" s="253" t="s">
        <v>529</v>
      </c>
      <c r="K12" s="269" t="s">
        <v>461</v>
      </c>
      <c r="L12" s="270">
        <f>(G11-E11)/E11</f>
        <v>0.38075068325480704</v>
      </c>
    </row>
    <row r="13" spans="1:14" x14ac:dyDescent="0.2">
      <c r="E13" s="252">
        <f>E12/2080</f>
        <v>14.140914469615385</v>
      </c>
      <c r="F13" s="252">
        <f>F12/2080</f>
        <v>16.832998486634619</v>
      </c>
      <c r="G13" s="252">
        <f>G12/2080</f>
        <v>19.525077315769231</v>
      </c>
      <c r="H13" s="253" t="s">
        <v>11</v>
      </c>
      <c r="K13" s="269" t="s">
        <v>462</v>
      </c>
      <c r="L13" s="270">
        <f>(E15-E11)/E11</f>
        <v>5.1824375095948678E-2</v>
      </c>
      <c r="M13" s="270">
        <f>(F15-F11)/F11</f>
        <v>5.0866280232421068E-2</v>
      </c>
      <c r="N13" s="270">
        <f>(G15-G11)/G11</f>
        <v>5.0172667777802549E-2</v>
      </c>
    </row>
    <row r="14" spans="1:14" x14ac:dyDescent="0.2">
      <c r="E14" s="337"/>
      <c r="G14" s="337"/>
    </row>
    <row r="15" spans="1:14" x14ac:dyDescent="0.2">
      <c r="A15" s="266" t="s">
        <v>176</v>
      </c>
      <c r="C15" s="335" t="s">
        <v>185</v>
      </c>
      <c r="D15" s="251" t="s">
        <v>818</v>
      </c>
      <c r="E15" s="323">
        <f>E16/12</f>
        <v>2578.1181443833334</v>
      </c>
      <c r="F15" s="323">
        <f>F16/12</f>
        <v>3066.1332875000003</v>
      </c>
      <c r="G15" s="323">
        <f>G16/12</f>
        <v>3554.1484390999999</v>
      </c>
      <c r="H15" s="253" t="s">
        <v>10</v>
      </c>
      <c r="K15" s="269" t="s">
        <v>460</v>
      </c>
      <c r="L15" s="270">
        <f>(F15-E15)/E15</f>
        <v>0.18929122553202327</v>
      </c>
      <c r="M15" s="270">
        <f>(G15-F15)/F15</f>
        <v>0.159163058432436</v>
      </c>
    </row>
    <row r="16" spans="1:14" x14ac:dyDescent="0.2">
      <c r="C16" s="266"/>
      <c r="E16" s="336">
        <f>30390.3907*$K$2</f>
        <v>30937.417732599999</v>
      </c>
      <c r="F16" s="257">
        <f>36143.025*$K$2</f>
        <v>36793.599450000002</v>
      </c>
      <c r="G16" s="336">
        <f>41895.6594*$K$2</f>
        <v>42649.781269200001</v>
      </c>
      <c r="H16" s="253" t="s">
        <v>529</v>
      </c>
      <c r="K16" s="269" t="s">
        <v>461</v>
      </c>
      <c r="L16" s="270">
        <f>(G15-E15)/E15</f>
        <v>0.37858245435456012</v>
      </c>
    </row>
    <row r="17" spans="1:14" x14ac:dyDescent="0.2">
      <c r="C17" s="266"/>
      <c r="E17" s="252">
        <f>E16/2080</f>
        <v>14.87375852528846</v>
      </c>
      <c r="F17" s="252">
        <f>F16/2080</f>
        <v>17.689230504807693</v>
      </c>
      <c r="G17" s="252">
        <f>G16/2080</f>
        <v>20.504702533269231</v>
      </c>
      <c r="H17" s="253" t="s">
        <v>11</v>
      </c>
      <c r="K17" s="269" t="s">
        <v>462</v>
      </c>
      <c r="L17" s="270">
        <f>(E19-E15)/E15</f>
        <v>5.0276717896884413E-2</v>
      </c>
      <c r="M17" s="270">
        <f>(F19-F15)/F15</f>
        <v>5.0729251356243593E-2</v>
      </c>
      <c r="N17" s="270">
        <f>(G19-G15)/G15</f>
        <v>5.1057508835867738E-2</v>
      </c>
    </row>
    <row r="18" spans="1:14" x14ac:dyDescent="0.2">
      <c r="E18" s="337"/>
      <c r="G18" s="337"/>
    </row>
    <row r="19" spans="1:14" x14ac:dyDescent="0.2">
      <c r="A19" s="266" t="s">
        <v>173</v>
      </c>
      <c r="C19" s="335" t="s">
        <v>186</v>
      </c>
      <c r="D19" s="339" t="s">
        <v>177</v>
      </c>
      <c r="E19" s="323">
        <f>E20/12</f>
        <v>2707.7374630333334</v>
      </c>
      <c r="F19" s="323">
        <f>F20/12</f>
        <v>3221.6759337333333</v>
      </c>
      <c r="G19" s="323">
        <f>G20/12</f>
        <v>3735.6144044333337</v>
      </c>
      <c r="H19" s="253" t="s">
        <v>10</v>
      </c>
      <c r="K19" s="269" t="s">
        <v>460</v>
      </c>
      <c r="L19" s="270">
        <f>(F19-E19)/E19</f>
        <v>0.1898036562688992</v>
      </c>
      <c r="M19" s="270">
        <f>(G19-F19)/F19</f>
        <v>0.15952519163044424</v>
      </c>
    </row>
    <row r="20" spans="1:14" x14ac:dyDescent="0.2">
      <c r="E20" s="336">
        <f>31918.3198*$K$2</f>
        <v>32492.8495564</v>
      </c>
      <c r="F20" s="257">
        <f>37976.5336*$K$2</f>
        <v>38660.1112048</v>
      </c>
      <c r="G20" s="336">
        <f>44034.7474*$K$2</f>
        <v>44827.372853200002</v>
      </c>
      <c r="H20" s="253" t="s">
        <v>529</v>
      </c>
      <c r="K20" s="269" t="s">
        <v>461</v>
      </c>
      <c r="L20" s="270">
        <f>(G19-E19)/E19</f>
        <v>0.37960731253779856</v>
      </c>
    </row>
    <row r="21" spans="1:14" x14ac:dyDescent="0.2">
      <c r="D21" s="340"/>
      <c r="E21" s="252">
        <f>E20/2080</f>
        <v>15.62156228673077</v>
      </c>
      <c r="F21" s="252">
        <f>F20/2080</f>
        <v>18.586591925384614</v>
      </c>
      <c r="G21" s="252">
        <f>G20/2080</f>
        <v>21.551621564038463</v>
      </c>
      <c r="H21" s="253" t="s">
        <v>11</v>
      </c>
      <c r="K21" s="269" t="s">
        <v>462</v>
      </c>
      <c r="L21" s="270">
        <f>(E292-E19)/E19</f>
        <v>-6.3650187083950843E-2</v>
      </c>
      <c r="M21" s="270">
        <f>(F292-F19)/F19</f>
        <v>-6.3266103536187987E-2</v>
      </c>
      <c r="N21" s="270">
        <f>(G292-G19)/G19</f>
        <v>-6.2987702904158616E-2</v>
      </c>
    </row>
    <row r="22" spans="1:14" x14ac:dyDescent="0.2">
      <c r="C22" s="266"/>
      <c r="E22" s="337"/>
      <c r="G22" s="337"/>
    </row>
    <row r="23" spans="1:14" x14ac:dyDescent="0.2">
      <c r="A23" s="266" t="s">
        <v>62</v>
      </c>
      <c r="C23" s="335" t="s">
        <v>187</v>
      </c>
      <c r="D23" s="253" t="s">
        <v>93</v>
      </c>
      <c r="E23" s="323">
        <f>E24/12</f>
        <v>3140.6642741999999</v>
      </c>
      <c r="F23" s="323">
        <f>F24/12</f>
        <v>3738.2068347500003</v>
      </c>
      <c r="G23" s="323">
        <f>G24/12</f>
        <v>4335.7493953000003</v>
      </c>
      <c r="H23" s="253" t="s">
        <v>10</v>
      </c>
      <c r="K23" s="269" t="s">
        <v>460</v>
      </c>
      <c r="L23" s="270">
        <f>(F23-E23)/E23</f>
        <v>0.19025992859494936</v>
      </c>
      <c r="M23" s="270">
        <f>(G23-F23)/F23</f>
        <v>0.15984737789126688</v>
      </c>
    </row>
    <row r="24" spans="1:14" x14ac:dyDescent="0.2">
      <c r="C24" s="335"/>
      <c r="E24" s="336">
        <f>37021.5828*$K$2</f>
        <v>37687.971290399997</v>
      </c>
      <c r="F24" s="257">
        <f>44065.3065*$K$2</f>
        <v>44858.482017000002</v>
      </c>
      <c r="G24" s="336">
        <f>51109.0302*$K$2</f>
        <v>52028.9927436</v>
      </c>
      <c r="H24" s="253" t="s">
        <v>529</v>
      </c>
      <c r="K24" s="269" t="s">
        <v>461</v>
      </c>
      <c r="L24" s="270">
        <f>(G23-E23)/E23</f>
        <v>0.38051985718989856</v>
      </c>
    </row>
    <row r="25" spans="1:14" x14ac:dyDescent="0.2">
      <c r="C25" s="266"/>
      <c r="E25" s="252">
        <f>E24/2080</f>
        <v>18.11921696653846</v>
      </c>
      <c r="F25" s="252">
        <f>F24/2080</f>
        <v>21.566577892788462</v>
      </c>
      <c r="G25" s="252">
        <f>G24/2080</f>
        <v>25.013938819038462</v>
      </c>
      <c r="H25" s="253" t="s">
        <v>11</v>
      </c>
      <c r="K25" s="269" t="s">
        <v>462</v>
      </c>
      <c r="L25" s="270">
        <f>(E27-E23)/E23</f>
        <v>5.1176075054251952E-2</v>
      </c>
      <c r="M25" s="270">
        <f>(F27-F23)/F23</f>
        <v>5.0797445378032054E-2</v>
      </c>
      <c r="N25" s="270">
        <f>(G27-G23)/G23</f>
        <v>5.0523177409067858E-2</v>
      </c>
    </row>
    <row r="26" spans="1:14" x14ac:dyDescent="0.2">
      <c r="C26" s="266"/>
      <c r="E26" s="337"/>
      <c r="G26" s="337"/>
    </row>
    <row r="27" spans="1:14" x14ac:dyDescent="0.2">
      <c r="A27" s="266" t="s">
        <v>92</v>
      </c>
      <c r="C27" s="335" t="s">
        <v>189</v>
      </c>
      <c r="D27" s="253" t="s">
        <v>22</v>
      </c>
      <c r="E27" s="323">
        <f>E28/12</f>
        <v>3301.3911448166668</v>
      </c>
      <c r="F27" s="323">
        <f>F28/12</f>
        <v>3928.0981922499996</v>
      </c>
      <c r="G27" s="323">
        <f>G28/12</f>
        <v>4554.8052312000009</v>
      </c>
      <c r="H27" s="253" t="s">
        <v>10</v>
      </c>
      <c r="K27" s="269" t="s">
        <v>460</v>
      </c>
      <c r="L27" s="270">
        <f>(F27-E27)/E27</f>
        <v>0.18983120143679161</v>
      </c>
      <c r="M27" s="270">
        <f>(G27-F27)/F27</f>
        <v>0.15954464686918277</v>
      </c>
    </row>
    <row r="28" spans="1:14" x14ac:dyDescent="0.2">
      <c r="C28" s="335" t="s">
        <v>183</v>
      </c>
      <c r="D28" s="339" t="s">
        <v>20</v>
      </c>
      <c r="E28" s="336">
        <f>38916.2021*$K$2</f>
        <v>39616.6937378</v>
      </c>
      <c r="F28" s="257">
        <f>46303.7115*$K$2</f>
        <v>47137.178306999995</v>
      </c>
      <c r="G28" s="336">
        <f>53691.2208*$K$2</f>
        <v>54657.662774400007</v>
      </c>
      <c r="H28" s="253" t="s">
        <v>529</v>
      </c>
      <c r="K28" s="269" t="s">
        <v>461</v>
      </c>
      <c r="L28" s="270">
        <f>(G27-E27)/E27</f>
        <v>0.37966240030395998</v>
      </c>
    </row>
    <row r="29" spans="1:14" x14ac:dyDescent="0.2">
      <c r="E29" s="252">
        <f>E28/2080</f>
        <v>19.046487373942309</v>
      </c>
      <c r="F29" s="252">
        <f>F28/2080</f>
        <v>22.662104955288459</v>
      </c>
      <c r="G29" s="252">
        <f>G28/2080</f>
        <v>26.277722487692312</v>
      </c>
      <c r="H29" s="253" t="s">
        <v>11</v>
      </c>
      <c r="K29" s="269" t="s">
        <v>462</v>
      </c>
      <c r="L29" s="270">
        <f>(E300-E27)/E27</f>
        <v>-6.2957157631105071E-2</v>
      </c>
      <c r="M29" s="270">
        <f>(F300-F27)/F27</f>
        <v>-6.2862466067524173E-2</v>
      </c>
      <c r="N29" s="270">
        <f>(G300-G27)/G27</f>
        <v>-6.2793830456630936E-2</v>
      </c>
    </row>
    <row r="30" spans="1:14" x14ac:dyDescent="0.2">
      <c r="E30" s="337"/>
      <c r="G30" s="337"/>
    </row>
    <row r="31" spans="1:14" x14ac:dyDescent="0.2">
      <c r="A31" s="266" t="s">
        <v>63</v>
      </c>
      <c r="C31" s="335" t="s">
        <v>190</v>
      </c>
      <c r="D31" s="253" t="s">
        <v>94</v>
      </c>
      <c r="E31" s="323">
        <f>E32/12</f>
        <v>3644.8807855166665</v>
      </c>
      <c r="F31" s="323">
        <f>F32/12</f>
        <v>4338.3418256166669</v>
      </c>
      <c r="G31" s="323">
        <f>G32/12</f>
        <v>5031.8028741999997</v>
      </c>
      <c r="H31" s="253" t="s">
        <v>10</v>
      </c>
      <c r="K31" s="269" t="s">
        <v>460</v>
      </c>
      <c r="L31" s="270">
        <f>(F31-E31)/E31</f>
        <v>0.19025616499051051</v>
      </c>
      <c r="M31" s="270">
        <f>(G31-F31)/F31</f>
        <v>0.15984472327391164</v>
      </c>
    </row>
    <row r="32" spans="1:14" x14ac:dyDescent="0.2">
      <c r="C32" s="335" t="s">
        <v>191</v>
      </c>
      <c r="D32" s="253" t="s">
        <v>95</v>
      </c>
      <c r="E32" s="336">
        <f>42965.1959*$K$2</f>
        <v>43738.569426199996</v>
      </c>
      <c r="F32" s="257">
        <f>51139.5893*$K$2</f>
        <v>52060.1019074</v>
      </c>
      <c r="G32" s="336">
        <f>59313.9828*$K$2</f>
        <v>60381.6344904</v>
      </c>
      <c r="H32" s="253" t="s">
        <v>529</v>
      </c>
      <c r="K32" s="269" t="s">
        <v>461</v>
      </c>
      <c r="L32" s="270">
        <f>(G31-E31)/E31</f>
        <v>0.38051233230848597</v>
      </c>
    </row>
    <row r="33" spans="1:14" x14ac:dyDescent="0.2">
      <c r="C33" s="250" t="s">
        <v>712</v>
      </c>
      <c r="D33" s="341" t="s">
        <v>713</v>
      </c>
      <c r="E33" s="252">
        <f>E32/2080</f>
        <v>21.028158377980766</v>
      </c>
      <c r="F33" s="252">
        <f>F32/2080</f>
        <v>25.028895147788461</v>
      </c>
      <c r="G33" s="252">
        <f>G32/2080</f>
        <v>29.02963196653846</v>
      </c>
      <c r="H33" s="253" t="s">
        <v>11</v>
      </c>
      <c r="K33" s="269" t="s">
        <v>462</v>
      </c>
      <c r="L33" s="270">
        <f>(E39-E31)/E31</f>
        <v>5.1209127618570986E-2</v>
      </c>
      <c r="M33" s="270">
        <f>(F39-F31)/F31</f>
        <v>5.0941130651590907E-2</v>
      </c>
      <c r="N33" s="270">
        <f>(G39-G31)/G31</f>
        <v>5.074700025033576E-2</v>
      </c>
    </row>
    <row r="34" spans="1:14" x14ac:dyDescent="0.2">
      <c r="C34" s="250" t="s">
        <v>971</v>
      </c>
      <c r="D34" s="341" t="s">
        <v>972</v>
      </c>
      <c r="E34" s="252"/>
      <c r="F34" s="252"/>
      <c r="G34" s="252"/>
      <c r="K34" s="269"/>
      <c r="L34" s="270"/>
      <c r="M34" s="270"/>
      <c r="N34" s="270"/>
    </row>
    <row r="35" spans="1:14" x14ac:dyDescent="0.2">
      <c r="C35" s="249" t="s">
        <v>384</v>
      </c>
      <c r="D35" s="253" t="s">
        <v>385</v>
      </c>
      <c r="E35" s="342"/>
      <c r="F35" s="342"/>
      <c r="G35" s="342"/>
    </row>
    <row r="36" spans="1:14" x14ac:dyDescent="0.2">
      <c r="C36" s="335" t="s">
        <v>192</v>
      </c>
      <c r="D36" s="251" t="s">
        <v>96</v>
      </c>
      <c r="E36" s="337"/>
      <c r="G36" s="337"/>
    </row>
    <row r="37" spans="1:14" x14ac:dyDescent="0.2">
      <c r="C37" s="335" t="s">
        <v>188</v>
      </c>
      <c r="D37" s="251" t="s">
        <v>819</v>
      </c>
      <c r="E37" s="337"/>
      <c r="F37" s="338"/>
      <c r="G37" s="337"/>
    </row>
    <row r="38" spans="1:14" x14ac:dyDescent="0.2">
      <c r="E38" s="337"/>
      <c r="G38" s="337"/>
    </row>
    <row r="39" spans="1:14" x14ac:dyDescent="0.2">
      <c r="A39" s="249" t="s">
        <v>537</v>
      </c>
      <c r="C39" s="249" t="s">
        <v>834</v>
      </c>
      <c r="D39" s="253" t="s">
        <v>835</v>
      </c>
      <c r="E39" s="323">
        <f>E40/12</f>
        <v>3831.5319508166667</v>
      </c>
      <c r="F39" s="323">
        <f>F40/12</f>
        <v>4559.341863366667</v>
      </c>
      <c r="G39" s="323">
        <f>G40/12</f>
        <v>5287.1517759166672</v>
      </c>
      <c r="H39" s="253" t="s">
        <v>10</v>
      </c>
      <c r="K39" s="269" t="s">
        <v>460</v>
      </c>
      <c r="L39" s="270">
        <f>(F39-E39)/E39</f>
        <v>0.18995271914537271</v>
      </c>
      <c r="M39" s="270">
        <f>(G39-F39)/F39</f>
        <v>0.15963047614345321</v>
      </c>
    </row>
    <row r="40" spans="1:14" x14ac:dyDescent="0.2">
      <c r="E40" s="336">
        <f>45165.4061*$K$2</f>
        <v>45978.383409800001</v>
      </c>
      <c r="F40" s="257">
        <f>53744.6978*$K$2</f>
        <v>54712.1023604</v>
      </c>
      <c r="G40" s="336">
        <f>62323.9895*$K$2</f>
        <v>63445.821311000007</v>
      </c>
      <c r="H40" s="253" t="s">
        <v>529</v>
      </c>
      <c r="K40" s="269" t="s">
        <v>461</v>
      </c>
      <c r="L40" s="270">
        <f>(G39-E39)/E39</f>
        <v>0.37990543829074541</v>
      </c>
    </row>
    <row r="41" spans="1:14" x14ac:dyDescent="0.2">
      <c r="E41" s="252">
        <f>E40/2080</f>
        <v>22.104992023942309</v>
      </c>
      <c r="F41" s="252">
        <f>F40/2080</f>
        <v>26.303895365576924</v>
      </c>
      <c r="G41" s="252">
        <f>G40/2080</f>
        <v>30.502798707211543</v>
      </c>
      <c r="H41" s="253" t="s">
        <v>11</v>
      </c>
      <c r="K41" s="269" t="s">
        <v>462</v>
      </c>
      <c r="L41" s="270">
        <f>(E43-E39)/E39</f>
        <v>5.0406071739051636E-2</v>
      </c>
      <c r="M41" s="270">
        <f>(F43-F39)/F39</f>
        <v>5.0461956453683711E-2</v>
      </c>
      <c r="N41" s="270">
        <f>(G43-G39)/G39</f>
        <v>5.0502455398815524E-2</v>
      </c>
    </row>
    <row r="43" spans="1:14" x14ac:dyDescent="0.2">
      <c r="A43" s="249" t="s">
        <v>64</v>
      </c>
      <c r="B43" s="249" t="s">
        <v>88</v>
      </c>
      <c r="C43" s="250" t="s">
        <v>715</v>
      </c>
      <c r="D43" s="341" t="s">
        <v>716</v>
      </c>
      <c r="E43" s="323">
        <f>E44/12</f>
        <v>4024.6644252000001</v>
      </c>
      <c r="F43" s="323">
        <f>F44/12</f>
        <v>4789.4151739333329</v>
      </c>
      <c r="G43" s="323">
        <f>G44/12</f>
        <v>5554.165922666667</v>
      </c>
      <c r="H43" s="253" t="s">
        <v>10</v>
      </c>
      <c r="K43" s="269" t="s">
        <v>460</v>
      </c>
      <c r="L43" s="270">
        <f>(F43-E43)/E43</f>
        <v>0.19001602815502552</v>
      </c>
      <c r="M43" s="270">
        <f>(G43-F43)/F43</f>
        <v>0.15967518391296165</v>
      </c>
    </row>
    <row r="44" spans="1:14" x14ac:dyDescent="0.2">
      <c r="C44" s="249" t="s">
        <v>648</v>
      </c>
      <c r="D44" s="253" t="s">
        <v>649</v>
      </c>
      <c r="E44" s="336">
        <f>47442.0168*$K$2</f>
        <v>48295.973102399999</v>
      </c>
      <c r="F44" s="257">
        <f>56456.7604*$K$2</f>
        <v>57472.982087199998</v>
      </c>
      <c r="G44" s="336">
        <f>65471.504*$K$2</f>
        <v>66649.991072000004</v>
      </c>
      <c r="H44" s="253" t="s">
        <v>529</v>
      </c>
      <c r="K44" s="269" t="s">
        <v>461</v>
      </c>
      <c r="L44" s="270">
        <f>(G43-E43)/E43</f>
        <v>0.38003205631005138</v>
      </c>
    </row>
    <row r="45" spans="1:14" x14ac:dyDescent="0.2">
      <c r="C45" s="335" t="s">
        <v>194</v>
      </c>
      <c r="D45" s="253" t="s">
        <v>98</v>
      </c>
      <c r="E45" s="252">
        <f>E44/2080</f>
        <v>23.219217837692309</v>
      </c>
      <c r="F45" s="252">
        <f>F44/2080</f>
        <v>27.631241388076923</v>
      </c>
      <c r="G45" s="252">
        <f>G44/2080</f>
        <v>32.04326493846154</v>
      </c>
      <c r="H45" s="253" t="s">
        <v>11</v>
      </c>
      <c r="K45" s="269" t="s">
        <v>462</v>
      </c>
      <c r="L45" s="270">
        <f>(E48-E43)/E43</f>
        <v>5.1207787186652719E-2</v>
      </c>
      <c r="M45" s="270">
        <f>(F48-F43)/F43</f>
        <v>5.1014976410159125E-2</v>
      </c>
      <c r="N45" s="270">
        <f>(G48-G43)/G43</f>
        <v>5.0875261701640334E-2</v>
      </c>
    </row>
    <row r="46" spans="1:14" x14ac:dyDescent="0.2">
      <c r="C46" s="250" t="s">
        <v>714</v>
      </c>
      <c r="D46" s="341" t="s">
        <v>929</v>
      </c>
      <c r="E46" s="342"/>
      <c r="F46" s="342"/>
      <c r="G46" s="342"/>
    </row>
    <row r="47" spans="1:14" x14ac:dyDescent="0.2">
      <c r="E47" s="337"/>
      <c r="G47" s="337"/>
    </row>
    <row r="48" spans="1:14" x14ac:dyDescent="0.2">
      <c r="A48" s="266" t="s">
        <v>99</v>
      </c>
      <c r="C48" s="249" t="s">
        <v>989</v>
      </c>
      <c r="D48" s="253" t="s">
        <v>990</v>
      </c>
      <c r="E48" s="323">
        <f>E49/12</f>
        <v>4230.7585845833337</v>
      </c>
      <c r="F48" s="323">
        <f>F49/12</f>
        <v>5033.74707605</v>
      </c>
      <c r="G48" s="323">
        <f>G49/12</f>
        <v>5836.7355675166664</v>
      </c>
      <c r="H48" s="253" t="s">
        <v>10</v>
      </c>
      <c r="K48" s="269" t="s">
        <v>460</v>
      </c>
      <c r="L48" s="270">
        <f>(F48-E48)/E48</f>
        <v>0.1897977574028249</v>
      </c>
      <c r="M48" s="270">
        <f>(G48-F48)/F48</f>
        <v>0.15952102466315699</v>
      </c>
    </row>
    <row r="49" spans="1:14" x14ac:dyDescent="0.2">
      <c r="A49" s="266"/>
      <c r="C49" s="335" t="s">
        <v>195</v>
      </c>
      <c r="D49" s="253" t="s">
        <v>24</v>
      </c>
      <c r="E49" s="336">
        <f>49871.4175*$K$2</f>
        <v>50769.103015000001</v>
      </c>
      <c r="F49" s="257">
        <f>59336.9007*$K$2</f>
        <v>60404.9649126</v>
      </c>
      <c r="G49" s="336">
        <f>68802.3839*$K$2</f>
        <v>70040.8268102</v>
      </c>
      <c r="H49" s="253" t="s">
        <v>529</v>
      </c>
      <c r="K49" s="269"/>
      <c r="L49" s="270"/>
      <c r="M49" s="270"/>
    </row>
    <row r="50" spans="1:14" s="343" customFormat="1" x14ac:dyDescent="0.2">
      <c r="A50" s="249"/>
      <c r="B50" s="249"/>
      <c r="C50" s="335" t="s">
        <v>957</v>
      </c>
      <c r="D50" s="253" t="s">
        <v>954</v>
      </c>
      <c r="E50" s="252">
        <f>E49/2080</f>
        <v>24.408222603365385</v>
      </c>
      <c r="F50" s="252">
        <f>F49/2080</f>
        <v>29.040848515673076</v>
      </c>
      <c r="G50" s="252">
        <f>G49/2080</f>
        <v>33.673474427980771</v>
      </c>
      <c r="H50" s="253" t="s">
        <v>11</v>
      </c>
      <c r="I50" s="253"/>
      <c r="J50" s="253"/>
      <c r="K50" s="269" t="s">
        <v>461</v>
      </c>
      <c r="L50" s="270">
        <f>(G48-E48)/E48</f>
        <v>0.37959551480564979</v>
      </c>
      <c r="M50" s="253"/>
      <c r="N50" s="253"/>
    </row>
    <row r="51" spans="1:14" x14ac:dyDescent="0.2">
      <c r="C51" s="335" t="s">
        <v>196</v>
      </c>
      <c r="D51" s="253" t="s">
        <v>100</v>
      </c>
      <c r="E51" s="253"/>
      <c r="F51" s="253"/>
      <c r="G51" s="253"/>
      <c r="K51" s="269" t="s">
        <v>462</v>
      </c>
      <c r="L51" s="270">
        <f>(E57-E48)/E48</f>
        <v>5.0551448632876667E-2</v>
      </c>
      <c r="M51" s="270">
        <f>(F57-F48)/F48</f>
        <v>5.0856176584902005E-2</v>
      </c>
    </row>
    <row r="52" spans="1:14" x14ac:dyDescent="0.2">
      <c r="C52" s="250" t="s">
        <v>717</v>
      </c>
      <c r="D52" s="253" t="s">
        <v>718</v>
      </c>
      <c r="E52" s="342"/>
      <c r="F52" s="342"/>
      <c r="G52" s="342"/>
      <c r="N52" s="270">
        <f>(G57-G48)/G48</f>
        <v>5.1077060136574537E-2</v>
      </c>
    </row>
    <row r="53" spans="1:14" x14ac:dyDescent="0.2">
      <c r="C53" s="335" t="s">
        <v>197</v>
      </c>
      <c r="D53" s="253" t="s">
        <v>101</v>
      </c>
      <c r="E53" s="337"/>
      <c r="G53" s="337"/>
      <c r="K53" s="269"/>
      <c r="L53" s="270"/>
      <c r="M53" s="270"/>
      <c r="N53" s="270"/>
    </row>
    <row r="54" spans="1:14" x14ac:dyDescent="0.2">
      <c r="C54" s="335" t="s">
        <v>193</v>
      </c>
      <c r="D54" s="253" t="s">
        <v>97</v>
      </c>
      <c r="E54" s="337"/>
      <c r="F54" s="338"/>
      <c r="G54" s="337"/>
      <c r="K54" s="269"/>
      <c r="L54" s="270"/>
      <c r="M54" s="270"/>
      <c r="N54" s="270"/>
    </row>
    <row r="55" spans="1:14" x14ac:dyDescent="0.2">
      <c r="C55" s="335" t="s">
        <v>626</v>
      </c>
      <c r="D55" s="253" t="s">
        <v>558</v>
      </c>
      <c r="E55" s="337"/>
      <c r="F55" s="338"/>
      <c r="G55" s="337"/>
      <c r="K55" s="269"/>
      <c r="L55" s="270"/>
      <c r="M55" s="270"/>
      <c r="N55" s="270"/>
    </row>
    <row r="56" spans="1:14" x14ac:dyDescent="0.2">
      <c r="C56" s="335"/>
      <c r="E56" s="337"/>
      <c r="G56" s="337"/>
    </row>
    <row r="57" spans="1:14" x14ac:dyDescent="0.2">
      <c r="A57" s="266" t="s">
        <v>102</v>
      </c>
      <c r="C57" s="250" t="s">
        <v>719</v>
      </c>
      <c r="D57" s="341" t="s">
        <v>720</v>
      </c>
      <c r="E57" s="323">
        <f>E58/12</f>
        <v>4444.6295598500001</v>
      </c>
      <c r="F57" s="323">
        <f>F58/12</f>
        <v>5289.744206233333</v>
      </c>
      <c r="G57" s="323">
        <f>G58/12</f>
        <v>6134.8588610999986</v>
      </c>
      <c r="H57" s="253" t="s">
        <v>10</v>
      </c>
      <c r="K57" s="269" t="s">
        <v>460</v>
      </c>
      <c r="L57" s="270">
        <f>(F57-E57)/E57</f>
        <v>0.19014287580174721</v>
      </c>
      <c r="M57" s="270">
        <f>(G57-F57)/F57</f>
        <v>0.1597647489023758</v>
      </c>
    </row>
    <row r="58" spans="1:14" x14ac:dyDescent="0.2">
      <c r="A58" s="266"/>
      <c r="C58" s="250" t="s">
        <v>721</v>
      </c>
      <c r="D58" s="341" t="s">
        <v>722</v>
      </c>
      <c r="E58" s="336">
        <f>52392.4899*$K$2</f>
        <v>53335.554718200001</v>
      </c>
      <c r="F58" s="257">
        <f>62354.5486*$K$2</f>
        <v>63476.9304748</v>
      </c>
      <c r="G58" s="336">
        <f>72316.6074*$K$2</f>
        <v>73618.306333199987</v>
      </c>
      <c r="H58" s="253" t="s">
        <v>529</v>
      </c>
      <c r="K58" s="269" t="s">
        <v>461</v>
      </c>
      <c r="L58" s="270">
        <f>(G57-E57)/E57</f>
        <v>0.38028575351216476</v>
      </c>
    </row>
    <row r="59" spans="1:14" x14ac:dyDescent="0.2">
      <c r="A59" s="266"/>
      <c r="C59" s="250" t="s">
        <v>723</v>
      </c>
      <c r="D59" s="341" t="s">
        <v>724</v>
      </c>
      <c r="E59" s="252">
        <f>E58/2080</f>
        <v>25.642093614519233</v>
      </c>
      <c r="F59" s="252">
        <f>F58/2080</f>
        <v>30.517755035961539</v>
      </c>
      <c r="G59" s="252">
        <f>G58/2080</f>
        <v>35.393416506346149</v>
      </c>
      <c r="H59" s="253" t="s">
        <v>11</v>
      </c>
      <c r="K59" s="269" t="s">
        <v>462</v>
      </c>
      <c r="L59" s="270">
        <f>(E64-E57)/E57</f>
        <v>5.1035220984983108E-2</v>
      </c>
      <c r="M59" s="270">
        <f>(F64-F57)/F57</f>
        <v>5.0845334802086889E-2</v>
      </c>
      <c r="N59" s="270">
        <f>(G64-G57)/G57</f>
        <v>5.0707763152064426E-2</v>
      </c>
    </row>
    <row r="60" spans="1:14" x14ac:dyDescent="0.2">
      <c r="C60" s="335" t="s">
        <v>199</v>
      </c>
      <c r="D60" s="253" t="s">
        <v>103</v>
      </c>
      <c r="E60" s="337"/>
      <c r="F60" s="252"/>
      <c r="G60" s="337"/>
      <c r="K60" s="269"/>
      <c r="L60" s="270"/>
      <c r="M60" s="270"/>
      <c r="N60" s="270"/>
    </row>
    <row r="61" spans="1:14" x14ac:dyDescent="0.2">
      <c r="C61" s="335" t="s">
        <v>201</v>
      </c>
      <c r="D61" s="251" t="s">
        <v>627</v>
      </c>
      <c r="E61" s="337"/>
      <c r="F61" s="338"/>
      <c r="G61" s="337"/>
    </row>
    <row r="62" spans="1:14" x14ac:dyDescent="0.2">
      <c r="C62" s="335" t="s">
        <v>200</v>
      </c>
      <c r="D62" s="253" t="s">
        <v>104</v>
      </c>
      <c r="E62" s="342"/>
      <c r="F62" s="342"/>
      <c r="G62" s="342"/>
    </row>
    <row r="63" spans="1:14" x14ac:dyDescent="0.2">
      <c r="C63" s="335"/>
      <c r="E63" s="337"/>
      <c r="F63" s="338"/>
      <c r="G63" s="337"/>
    </row>
    <row r="64" spans="1:14" x14ac:dyDescent="0.2">
      <c r="A64" s="266" t="s">
        <v>65</v>
      </c>
      <c r="C64" s="335" t="s">
        <v>202</v>
      </c>
      <c r="D64" s="253" t="s">
        <v>105</v>
      </c>
      <c r="E64" s="323">
        <f>E65/12</f>
        <v>4671.462211633333</v>
      </c>
      <c r="F64" s="323">
        <f>F65/12</f>
        <v>5558.7030214166662</v>
      </c>
      <c r="G64" s="323">
        <f>G65/12</f>
        <v>6445.9438312000011</v>
      </c>
      <c r="H64" s="253" t="s">
        <v>10</v>
      </c>
      <c r="K64" s="269" t="s">
        <v>460</v>
      </c>
      <c r="L64" s="270">
        <f>(F64-E64)/E64</f>
        <v>0.18992785761465417</v>
      </c>
      <c r="M64" s="270">
        <f>(G64-F64)/F64</f>
        <v>0.15961291804310437</v>
      </c>
    </row>
    <row r="65" spans="1:14" x14ac:dyDescent="0.2">
      <c r="C65" s="335" t="s">
        <v>203</v>
      </c>
      <c r="D65" s="253" t="s">
        <v>106</v>
      </c>
      <c r="E65" s="336">
        <f>55066.3522*$K$2</f>
        <v>56057.5465396</v>
      </c>
      <c r="F65" s="257">
        <f>65524.9865*$K$2</f>
        <v>66704.436256999994</v>
      </c>
      <c r="G65" s="336">
        <f>75983.6208*$K$2</f>
        <v>77351.32597440001</v>
      </c>
      <c r="H65" s="253" t="s">
        <v>529</v>
      </c>
      <c r="K65" s="269" t="s">
        <v>461</v>
      </c>
      <c r="L65" s="270">
        <f>(G64-E64)/E64</f>
        <v>0.37985571522930872</v>
      </c>
    </row>
    <row r="66" spans="1:14" x14ac:dyDescent="0.2">
      <c r="C66" s="335" t="s">
        <v>204</v>
      </c>
      <c r="D66" s="253" t="s">
        <v>23</v>
      </c>
      <c r="E66" s="252">
        <f>E65/2080</f>
        <v>26.950743528653845</v>
      </c>
      <c r="F66" s="252">
        <f>F65/2080</f>
        <v>32.069440508173074</v>
      </c>
      <c r="G66" s="252">
        <f>G65/2080</f>
        <v>37.188137487692309</v>
      </c>
      <c r="H66" s="253" t="s">
        <v>11</v>
      </c>
      <c r="K66" s="269" t="s">
        <v>462</v>
      </c>
      <c r="L66" s="270">
        <f>(E75-E64)/E64</f>
        <v>5.105442593671574E-2</v>
      </c>
      <c r="M66" s="270">
        <f>(F75-F64)/F64</f>
        <v>5.1183412300283573E-2</v>
      </c>
      <c r="N66" s="270">
        <f>(G75-G64)/G64</f>
        <v>5.1276890453211897E-2</v>
      </c>
    </row>
    <row r="67" spans="1:14" x14ac:dyDescent="0.2">
      <c r="C67" s="335" t="s">
        <v>205</v>
      </c>
      <c r="D67" s="253" t="s">
        <v>107</v>
      </c>
      <c r="E67" s="337"/>
      <c r="G67" s="337"/>
    </row>
    <row r="68" spans="1:14" x14ac:dyDescent="0.2">
      <c r="C68" s="335" t="s">
        <v>207</v>
      </c>
      <c r="D68" s="253" t="s">
        <v>108</v>
      </c>
      <c r="E68" s="337"/>
      <c r="F68" s="338"/>
      <c r="G68" s="337"/>
    </row>
    <row r="69" spans="1:14" x14ac:dyDescent="0.2">
      <c r="B69" s="249" t="s">
        <v>88</v>
      </c>
      <c r="C69" s="335" t="s">
        <v>209</v>
      </c>
      <c r="D69" s="251" t="s">
        <v>110</v>
      </c>
      <c r="E69" s="337"/>
      <c r="G69" s="337"/>
    </row>
    <row r="70" spans="1:14" x14ac:dyDescent="0.2">
      <c r="B70" s="249" t="s">
        <v>88</v>
      </c>
      <c r="C70" s="335" t="s">
        <v>208</v>
      </c>
      <c r="D70" s="253" t="s">
        <v>109</v>
      </c>
      <c r="E70" s="337"/>
      <c r="G70" s="337"/>
    </row>
    <row r="71" spans="1:14" x14ac:dyDescent="0.2">
      <c r="C71" s="250" t="s">
        <v>878</v>
      </c>
      <c r="D71" s="253" t="s">
        <v>879</v>
      </c>
      <c r="E71" s="337"/>
      <c r="G71" s="337"/>
    </row>
    <row r="72" spans="1:14" x14ac:dyDescent="0.2">
      <c r="C72" s="335" t="s">
        <v>211</v>
      </c>
      <c r="D72" s="253" t="s">
        <v>111</v>
      </c>
      <c r="E72" s="337"/>
      <c r="G72" s="337"/>
    </row>
    <row r="73" spans="1:14" x14ac:dyDescent="0.2">
      <c r="A73" s="344"/>
      <c r="B73" s="344"/>
      <c r="C73" s="345" t="s">
        <v>198</v>
      </c>
      <c r="D73" s="346" t="s">
        <v>820</v>
      </c>
      <c r="E73" s="337"/>
      <c r="F73" s="347"/>
      <c r="G73" s="337"/>
      <c r="H73" s="343"/>
      <c r="I73" s="343"/>
      <c r="J73" s="343"/>
      <c r="K73" s="343"/>
      <c r="L73" s="343"/>
      <c r="M73" s="343"/>
      <c r="N73" s="343"/>
    </row>
    <row r="74" spans="1:14" x14ac:dyDescent="0.2">
      <c r="C74" s="335"/>
      <c r="E74" s="337"/>
      <c r="G74" s="337"/>
    </row>
    <row r="75" spans="1:14" x14ac:dyDescent="0.2">
      <c r="A75" s="266" t="s">
        <v>66</v>
      </c>
      <c r="B75" s="249" t="s">
        <v>88</v>
      </c>
      <c r="C75" s="335" t="s">
        <v>212</v>
      </c>
      <c r="D75" s="253" t="s">
        <v>112</v>
      </c>
      <c r="E75" s="323">
        <f>E76/12</f>
        <v>4909.9610331333333</v>
      </c>
      <c r="F75" s="323">
        <f>F76/12</f>
        <v>5843.2164100166674</v>
      </c>
      <c r="G75" s="323">
        <f>G76/12</f>
        <v>6776.4717869000006</v>
      </c>
      <c r="H75" s="253" t="s">
        <v>10</v>
      </c>
      <c r="K75" s="269" t="s">
        <v>460</v>
      </c>
      <c r="L75" s="270">
        <f>(F75-E75)/E75</f>
        <v>0.19007388665318373</v>
      </c>
      <c r="M75" s="270">
        <f>(G75-F75)/F75</f>
        <v>0.1597160384618839</v>
      </c>
    </row>
    <row r="76" spans="1:14" x14ac:dyDescent="0.2">
      <c r="C76" s="249" t="s">
        <v>418</v>
      </c>
      <c r="D76" s="253" t="s">
        <v>419</v>
      </c>
      <c r="E76" s="336">
        <f>57877.7332*$K$2</f>
        <v>58919.5323976</v>
      </c>
      <c r="F76" s="257">
        <f>68878.7789*$K$2</f>
        <v>70118.596920200012</v>
      </c>
      <c r="G76" s="336">
        <f>79879.8246*$K$2</f>
        <v>81317.661442800003</v>
      </c>
      <c r="H76" s="253" t="s">
        <v>529</v>
      </c>
      <c r="K76" s="269" t="s">
        <v>461</v>
      </c>
      <c r="L76" s="270">
        <f>(G75-E75)/E75</f>
        <v>0.38014777330636729</v>
      </c>
    </row>
    <row r="77" spans="1:14" x14ac:dyDescent="0.2">
      <c r="B77" s="249" t="s">
        <v>88</v>
      </c>
      <c r="C77" s="249" t="s">
        <v>412</v>
      </c>
      <c r="D77" s="253" t="s">
        <v>127</v>
      </c>
      <c r="E77" s="252">
        <f>E76/2080</f>
        <v>28.326698268076925</v>
      </c>
      <c r="F77" s="252">
        <f>F76/2080</f>
        <v>33.710863903942311</v>
      </c>
      <c r="G77" s="252">
        <f>G76/2080</f>
        <v>39.09502953980769</v>
      </c>
      <c r="H77" s="253" t="s">
        <v>11</v>
      </c>
      <c r="K77" s="269" t="s">
        <v>462</v>
      </c>
      <c r="L77" s="270">
        <f>(E86-E75)/E75</f>
        <v>5.0686268065522753E-2</v>
      </c>
      <c r="M77" s="270">
        <f>(F86-F75)/F75</f>
        <v>5.0576664622026139E-2</v>
      </c>
      <c r="N77" s="270">
        <f>(G86-G75)/G75</f>
        <v>5.0497249088851691E-2</v>
      </c>
    </row>
    <row r="78" spans="1:14" x14ac:dyDescent="0.2">
      <c r="B78" s="249" t="s">
        <v>88</v>
      </c>
      <c r="C78" s="249" t="s">
        <v>387</v>
      </c>
      <c r="D78" s="339" t="s">
        <v>386</v>
      </c>
      <c r="E78" s="337"/>
      <c r="G78" s="337"/>
    </row>
    <row r="79" spans="1:14" x14ac:dyDescent="0.2">
      <c r="B79" s="249" t="s">
        <v>88</v>
      </c>
      <c r="C79" s="335" t="s">
        <v>213</v>
      </c>
      <c r="D79" s="251" t="s">
        <v>404</v>
      </c>
      <c r="E79" s="337"/>
      <c r="F79" s="338"/>
      <c r="G79" s="337"/>
    </row>
    <row r="80" spans="1:14" x14ac:dyDescent="0.2">
      <c r="C80" s="250" t="s">
        <v>726</v>
      </c>
      <c r="D80" s="253" t="s">
        <v>725</v>
      </c>
      <c r="E80" s="337"/>
      <c r="F80" s="338"/>
      <c r="G80" s="337"/>
    </row>
    <row r="81" spans="1:14" x14ac:dyDescent="0.2">
      <c r="B81" s="249" t="s">
        <v>88</v>
      </c>
      <c r="C81" s="250" t="s">
        <v>727</v>
      </c>
      <c r="D81" s="253" t="s">
        <v>728</v>
      </c>
      <c r="E81" s="337"/>
      <c r="G81" s="337"/>
    </row>
    <row r="82" spans="1:14" x14ac:dyDescent="0.2">
      <c r="C82" s="335" t="s">
        <v>210</v>
      </c>
      <c r="D82" s="253" t="s">
        <v>26</v>
      </c>
      <c r="E82" s="337"/>
      <c r="G82" s="337"/>
    </row>
    <row r="83" spans="1:14" x14ac:dyDescent="0.2">
      <c r="B83" s="249" t="s">
        <v>88</v>
      </c>
      <c r="C83" s="335" t="s">
        <v>241</v>
      </c>
      <c r="D83" s="339" t="s">
        <v>113</v>
      </c>
      <c r="E83" s="337"/>
      <c r="G83" s="337"/>
    </row>
    <row r="84" spans="1:14" x14ac:dyDescent="0.2">
      <c r="C84" s="250" t="s">
        <v>814</v>
      </c>
      <c r="D84" s="339" t="s">
        <v>945</v>
      </c>
      <c r="E84" s="337"/>
      <c r="G84" s="337"/>
    </row>
    <row r="85" spans="1:14" x14ac:dyDescent="0.2">
      <c r="C85" s="335"/>
      <c r="D85" s="339"/>
      <c r="E85" s="337"/>
      <c r="G85" s="337"/>
    </row>
    <row r="86" spans="1:14" x14ac:dyDescent="0.2">
      <c r="A86" s="266" t="s">
        <v>67</v>
      </c>
      <c r="B86" s="249" t="s">
        <v>88</v>
      </c>
      <c r="C86" s="335" t="s">
        <v>216</v>
      </c>
      <c r="D86" s="253" t="s">
        <v>114</v>
      </c>
      <c r="E86" s="323">
        <f>E87/12</f>
        <v>5158.8286342500005</v>
      </c>
      <c r="F86" s="323">
        <f>F87/12</f>
        <v>6138.7468067</v>
      </c>
      <c r="G86" s="323">
        <f>G87/12</f>
        <v>7118.6649706666658</v>
      </c>
      <c r="H86" s="253" t="s">
        <v>10</v>
      </c>
      <c r="K86" s="269" t="s">
        <v>460</v>
      </c>
      <c r="L86" s="270">
        <f>(F86-E86)/E86</f>
        <v>0.18994974284360228</v>
      </c>
      <c r="M86" s="270">
        <f>(G86-F86)/F86</f>
        <v>0.15962837282963938</v>
      </c>
    </row>
    <row r="87" spans="1:14" x14ac:dyDescent="0.2">
      <c r="B87" s="249" t="s">
        <v>88</v>
      </c>
      <c r="C87" s="249" t="s">
        <v>832</v>
      </c>
      <c r="D87" s="253" t="s">
        <v>833</v>
      </c>
      <c r="E87" s="336">
        <f>60811.3395*$K$2</f>
        <v>61905.943611000002</v>
      </c>
      <c r="F87" s="257">
        <f>72362.4378*$K$2</f>
        <v>73664.961680399996</v>
      </c>
      <c r="G87" s="336">
        <f>83913.536*$K$2</f>
        <v>85423.979647999993</v>
      </c>
      <c r="H87" s="253" t="s">
        <v>529</v>
      </c>
      <c r="K87" s="269" t="s">
        <v>461</v>
      </c>
      <c r="L87" s="270">
        <f>(G86-E86)/E86</f>
        <v>0.37989948404277429</v>
      </c>
    </row>
    <row r="88" spans="1:14" x14ac:dyDescent="0.2">
      <c r="B88" s="249" t="s">
        <v>88</v>
      </c>
      <c r="C88" s="335" t="s">
        <v>206</v>
      </c>
      <c r="D88" s="251" t="s">
        <v>496</v>
      </c>
      <c r="E88" s="252">
        <f>E87/2080</f>
        <v>29.762472889903847</v>
      </c>
      <c r="F88" s="252">
        <f>F87/2080</f>
        <v>35.415846961730765</v>
      </c>
      <c r="G88" s="252">
        <f>G87/2080</f>
        <v>41.069220984615384</v>
      </c>
      <c r="H88" s="253" t="s">
        <v>11</v>
      </c>
      <c r="K88" s="269" t="s">
        <v>462</v>
      </c>
      <c r="L88" s="270">
        <f>(E106-E86)/E86</f>
        <v>5.100511887260762E-2</v>
      </c>
      <c r="M88" s="270">
        <f>(F106-F86)/F86</f>
        <v>5.0992509542015375E-2</v>
      </c>
      <c r="N88" s="270">
        <f>(G106-G86)/G86</f>
        <v>5.0983374124527379E-2</v>
      </c>
    </row>
    <row r="89" spans="1:14" x14ac:dyDescent="0.2">
      <c r="B89" s="249" t="s">
        <v>88</v>
      </c>
      <c r="C89" s="335" t="s">
        <v>217</v>
      </c>
      <c r="D89" s="251" t="s">
        <v>497</v>
      </c>
      <c r="E89" s="337"/>
      <c r="G89" s="337"/>
    </row>
    <row r="90" spans="1:14" x14ac:dyDescent="0.2">
      <c r="B90" s="266" t="s">
        <v>88</v>
      </c>
      <c r="C90" s="335" t="s">
        <v>632</v>
      </c>
      <c r="D90" s="339" t="s">
        <v>633</v>
      </c>
      <c r="E90" s="337"/>
      <c r="G90" s="337"/>
    </row>
    <row r="91" spans="1:14" x14ac:dyDescent="0.2">
      <c r="B91" s="249" t="s">
        <v>88</v>
      </c>
      <c r="C91" s="335" t="s">
        <v>219</v>
      </c>
      <c r="D91" s="253" t="s">
        <v>115</v>
      </c>
      <c r="E91" s="337"/>
      <c r="G91" s="337"/>
    </row>
    <row r="92" spans="1:14" x14ac:dyDescent="0.2">
      <c r="C92" s="250" t="s">
        <v>730</v>
      </c>
      <c r="D92" s="253" t="s">
        <v>731</v>
      </c>
      <c r="E92" s="337"/>
      <c r="G92" s="337"/>
    </row>
    <row r="93" spans="1:14" x14ac:dyDescent="0.2">
      <c r="B93" s="249" t="s">
        <v>88</v>
      </c>
      <c r="C93" s="250" t="s">
        <v>732</v>
      </c>
      <c r="D93" s="341" t="s">
        <v>733</v>
      </c>
      <c r="E93" s="337"/>
      <c r="G93" s="337"/>
    </row>
    <row r="94" spans="1:14" x14ac:dyDescent="0.2">
      <c r="B94" s="249" t="s">
        <v>88</v>
      </c>
      <c r="C94" s="250" t="s">
        <v>734</v>
      </c>
      <c r="D94" s="341" t="s">
        <v>735</v>
      </c>
      <c r="E94" s="337"/>
      <c r="G94" s="337"/>
    </row>
    <row r="95" spans="1:14" x14ac:dyDescent="0.2">
      <c r="B95" s="249" t="s">
        <v>88</v>
      </c>
      <c r="C95" s="250" t="s">
        <v>736</v>
      </c>
      <c r="D95" s="341" t="s">
        <v>737</v>
      </c>
      <c r="E95" s="337"/>
      <c r="G95" s="337"/>
    </row>
    <row r="96" spans="1:14" x14ac:dyDescent="0.2">
      <c r="B96" s="249" t="s">
        <v>88</v>
      </c>
      <c r="C96" s="250" t="s">
        <v>837</v>
      </c>
      <c r="D96" s="341" t="s">
        <v>836</v>
      </c>
      <c r="E96" s="337"/>
      <c r="G96" s="337"/>
    </row>
    <row r="97" spans="1:14" x14ac:dyDescent="0.2">
      <c r="B97" s="249" t="s">
        <v>88</v>
      </c>
      <c r="C97" s="335" t="s">
        <v>220</v>
      </c>
      <c r="D97" s="253" t="s">
        <v>116</v>
      </c>
      <c r="E97" s="337"/>
      <c r="G97" s="337"/>
    </row>
    <row r="98" spans="1:14" x14ac:dyDescent="0.2">
      <c r="B98" s="249" t="s">
        <v>88</v>
      </c>
      <c r="C98" s="249" t="s">
        <v>1017</v>
      </c>
      <c r="D98" s="253" t="s">
        <v>1008</v>
      </c>
      <c r="E98" s="337"/>
      <c r="G98" s="337"/>
    </row>
    <row r="99" spans="1:14" x14ac:dyDescent="0.2">
      <c r="C99" s="335" t="s">
        <v>221</v>
      </c>
      <c r="D99" s="253" t="s">
        <v>117</v>
      </c>
      <c r="E99" s="337"/>
      <c r="G99" s="337"/>
    </row>
    <row r="100" spans="1:14" x14ac:dyDescent="0.2">
      <c r="B100" s="249" t="s">
        <v>88</v>
      </c>
      <c r="C100" s="335" t="s">
        <v>222</v>
      </c>
      <c r="D100" s="253" t="s">
        <v>118</v>
      </c>
      <c r="E100" s="337"/>
      <c r="G100" s="337"/>
    </row>
    <row r="101" spans="1:14" x14ac:dyDescent="0.2">
      <c r="B101" s="249" t="s">
        <v>88</v>
      </c>
      <c r="C101" s="335" t="s">
        <v>223</v>
      </c>
      <c r="D101" s="253" t="s">
        <v>119</v>
      </c>
      <c r="E101" s="337"/>
      <c r="G101" s="337"/>
    </row>
    <row r="102" spans="1:14" x14ac:dyDescent="0.2">
      <c r="C102" s="335" t="s">
        <v>215</v>
      </c>
      <c r="D102" s="251" t="s">
        <v>821</v>
      </c>
      <c r="E102" s="337"/>
      <c r="G102" s="337"/>
    </row>
    <row r="103" spans="1:14" x14ac:dyDescent="0.2">
      <c r="B103" s="249" t="s">
        <v>88</v>
      </c>
      <c r="C103" s="250" t="s">
        <v>729</v>
      </c>
      <c r="D103" s="253" t="s">
        <v>930</v>
      </c>
      <c r="E103" s="337"/>
      <c r="G103" s="337"/>
    </row>
    <row r="104" spans="1:14" x14ac:dyDescent="0.2">
      <c r="B104" s="249" t="s">
        <v>88</v>
      </c>
      <c r="C104" s="335" t="s">
        <v>224</v>
      </c>
      <c r="D104" s="253" t="s">
        <v>120</v>
      </c>
      <c r="E104" s="337"/>
      <c r="G104" s="337"/>
    </row>
    <row r="105" spans="1:14" x14ac:dyDescent="0.2">
      <c r="E105" s="337"/>
      <c r="G105" s="337"/>
    </row>
    <row r="106" spans="1:14" x14ac:dyDescent="0.2">
      <c r="A106" s="266" t="s">
        <v>68</v>
      </c>
      <c r="B106" s="249" t="s">
        <v>88</v>
      </c>
      <c r="C106" s="335" t="s">
        <v>225</v>
      </c>
      <c r="D106" s="253" t="s">
        <v>125</v>
      </c>
      <c r="E106" s="323">
        <f>E107/12</f>
        <v>5421.9553019833338</v>
      </c>
      <c r="F106" s="323">
        <f>F107/12</f>
        <v>6451.7769118166661</v>
      </c>
      <c r="G106" s="323">
        <f>G107/12</f>
        <v>7481.5985301333321</v>
      </c>
      <c r="H106" s="253" t="s">
        <v>10</v>
      </c>
      <c r="K106" s="269" t="s">
        <v>460</v>
      </c>
      <c r="L106" s="270">
        <f>(F106-E106)/E106</f>
        <v>0.18993546653854318</v>
      </c>
      <c r="M106" s="270">
        <f>(G106-F106)/F106</f>
        <v>0.15961829312952683</v>
      </c>
    </row>
    <row r="107" spans="1:14" x14ac:dyDescent="0.2">
      <c r="B107" s="249" t="s">
        <v>88</v>
      </c>
      <c r="C107" s="335" t="s">
        <v>226</v>
      </c>
      <c r="D107" s="253" t="s">
        <v>122</v>
      </c>
      <c r="E107" s="336">
        <f>63913.0291*$K$2</f>
        <v>65063.463623800002</v>
      </c>
      <c r="F107" s="257">
        <f>76052.3801*$K$2</f>
        <v>77421.322941799997</v>
      </c>
      <c r="G107" s="336">
        <f>88191.7312*$K$2</f>
        <v>89779.182361599989</v>
      </c>
      <c r="H107" s="253" t="s">
        <v>529</v>
      </c>
      <c r="K107" s="269" t="s">
        <v>461</v>
      </c>
      <c r="L107" s="270">
        <f>(G106-E106)/E106</f>
        <v>0.37987093464171262</v>
      </c>
    </row>
    <row r="108" spans="1:14" x14ac:dyDescent="0.2">
      <c r="B108" s="249" t="s">
        <v>88</v>
      </c>
      <c r="C108" s="335" t="s">
        <v>227</v>
      </c>
      <c r="D108" s="253" t="s">
        <v>38</v>
      </c>
      <c r="E108" s="252">
        <f>E107/2080</f>
        <v>31.280511357596154</v>
      </c>
      <c r="F108" s="252">
        <f>F107/2080</f>
        <v>37.221789875865383</v>
      </c>
      <c r="G108" s="252">
        <f>G107/2080</f>
        <v>43.163068443076916</v>
      </c>
      <c r="H108" s="253" t="s">
        <v>11</v>
      </c>
      <c r="K108" s="269" t="s">
        <v>462</v>
      </c>
      <c r="L108" s="270">
        <f>(E135-E106)/E106</f>
        <v>5.1159376202996903E-2</v>
      </c>
      <c r="M108" s="270">
        <f>(F135-F106)/F106</f>
        <v>5.0929114840417782E-2</v>
      </c>
      <c r="N108" s="270">
        <f>(G135-G106)/G106</f>
        <v>5.076224084826686E-2</v>
      </c>
    </row>
    <row r="109" spans="1:14" x14ac:dyDescent="0.2">
      <c r="B109" s="249" t="s">
        <v>88</v>
      </c>
      <c r="C109" s="335" t="s">
        <v>229</v>
      </c>
      <c r="D109" s="251" t="s">
        <v>389</v>
      </c>
      <c r="E109" s="337"/>
      <c r="G109" s="337"/>
    </row>
    <row r="110" spans="1:14" x14ac:dyDescent="0.2">
      <c r="C110" s="335" t="s">
        <v>230</v>
      </c>
      <c r="D110" s="339" t="s">
        <v>25</v>
      </c>
      <c r="E110" s="337"/>
      <c r="F110" s="338"/>
      <c r="G110" s="337"/>
    </row>
    <row r="111" spans="1:14" x14ac:dyDescent="0.2">
      <c r="B111" s="249" t="s">
        <v>88</v>
      </c>
      <c r="C111" s="335" t="s">
        <v>231</v>
      </c>
      <c r="D111" s="253" t="s">
        <v>132</v>
      </c>
      <c r="E111" s="337"/>
      <c r="G111" s="337"/>
    </row>
    <row r="112" spans="1:14" x14ac:dyDescent="0.2">
      <c r="B112" s="249" t="s">
        <v>88</v>
      </c>
      <c r="C112" s="335" t="s">
        <v>232</v>
      </c>
      <c r="D112" s="251" t="s">
        <v>498</v>
      </c>
      <c r="E112" s="337"/>
      <c r="G112" s="337"/>
    </row>
    <row r="113" spans="2:7" x14ac:dyDescent="0.2">
      <c r="B113" s="249" t="s">
        <v>88</v>
      </c>
      <c r="C113" s="335" t="s">
        <v>234</v>
      </c>
      <c r="D113" s="253" t="s">
        <v>39</v>
      </c>
      <c r="E113" s="337"/>
      <c r="G113" s="337"/>
    </row>
    <row r="114" spans="2:7" x14ac:dyDescent="0.2">
      <c r="B114" s="249" t="s">
        <v>88</v>
      </c>
      <c r="C114" s="335" t="s">
        <v>235</v>
      </c>
      <c r="D114" s="253" t="s">
        <v>40</v>
      </c>
      <c r="E114" s="337"/>
      <c r="G114" s="337"/>
    </row>
    <row r="115" spans="2:7" x14ac:dyDescent="0.2">
      <c r="C115" s="335" t="s">
        <v>393</v>
      </c>
      <c r="D115" s="253" t="s">
        <v>41</v>
      </c>
      <c r="E115" s="337"/>
      <c r="G115" s="337"/>
    </row>
    <row r="116" spans="2:7" x14ac:dyDescent="0.2">
      <c r="B116" s="249" t="s">
        <v>88</v>
      </c>
      <c r="C116" s="250" t="s">
        <v>218</v>
      </c>
      <c r="D116" s="251" t="s">
        <v>545</v>
      </c>
      <c r="E116" s="337"/>
      <c r="G116" s="337"/>
    </row>
    <row r="117" spans="2:7" x14ac:dyDescent="0.2">
      <c r="B117" s="249" t="s">
        <v>88</v>
      </c>
      <c r="C117" s="335" t="s">
        <v>238</v>
      </c>
      <c r="D117" s="253" t="s">
        <v>133</v>
      </c>
      <c r="E117" s="337"/>
      <c r="G117" s="337"/>
    </row>
    <row r="118" spans="2:7" x14ac:dyDescent="0.2">
      <c r="B118" s="249" t="s">
        <v>88</v>
      </c>
      <c r="C118" s="250" t="s">
        <v>738</v>
      </c>
      <c r="D118" s="253" t="s">
        <v>739</v>
      </c>
      <c r="E118" s="337"/>
      <c r="G118" s="337"/>
    </row>
    <row r="119" spans="2:7" x14ac:dyDescent="0.2">
      <c r="B119" s="249" t="s">
        <v>88</v>
      </c>
      <c r="C119" s="250" t="s">
        <v>740</v>
      </c>
      <c r="D119" s="253" t="s">
        <v>741</v>
      </c>
      <c r="E119" s="337"/>
      <c r="G119" s="337"/>
    </row>
    <row r="120" spans="2:7" x14ac:dyDescent="0.2">
      <c r="B120" s="249" t="s">
        <v>88</v>
      </c>
      <c r="C120" s="250" t="s">
        <v>742</v>
      </c>
      <c r="D120" s="253" t="s">
        <v>743</v>
      </c>
      <c r="E120" s="337"/>
      <c r="G120" s="337"/>
    </row>
    <row r="121" spans="2:7" x14ac:dyDescent="0.2">
      <c r="B121" s="249" t="s">
        <v>88</v>
      </c>
      <c r="C121" s="250" t="s">
        <v>744</v>
      </c>
      <c r="D121" s="253" t="s">
        <v>745</v>
      </c>
      <c r="E121" s="337"/>
      <c r="G121" s="337"/>
    </row>
    <row r="122" spans="2:7" x14ac:dyDescent="0.2">
      <c r="B122" s="249" t="s">
        <v>88</v>
      </c>
      <c r="C122" s="335" t="s">
        <v>239</v>
      </c>
      <c r="D122" s="253" t="s">
        <v>128</v>
      </c>
      <c r="E122" s="337"/>
      <c r="G122" s="337"/>
    </row>
    <row r="123" spans="2:7" x14ac:dyDescent="0.2">
      <c r="B123" s="266" t="s">
        <v>88</v>
      </c>
      <c r="C123" s="335" t="s">
        <v>392</v>
      </c>
      <c r="D123" s="251" t="s">
        <v>499</v>
      </c>
      <c r="E123" s="337"/>
      <c r="G123" s="337"/>
    </row>
    <row r="124" spans="2:7" x14ac:dyDescent="0.2">
      <c r="B124" s="249" t="s">
        <v>88</v>
      </c>
      <c r="C124" s="335" t="s">
        <v>242</v>
      </c>
      <c r="D124" s="253" t="s">
        <v>27</v>
      </c>
      <c r="E124" s="337"/>
      <c r="G124" s="337"/>
    </row>
    <row r="125" spans="2:7" x14ac:dyDescent="0.2">
      <c r="B125" s="249" t="s">
        <v>88</v>
      </c>
      <c r="C125" s="335" t="s">
        <v>243</v>
      </c>
      <c r="D125" s="253" t="s">
        <v>129</v>
      </c>
      <c r="E125" s="337"/>
      <c r="G125" s="337"/>
    </row>
    <row r="126" spans="2:7" x14ac:dyDescent="0.2">
      <c r="B126" s="249" t="s">
        <v>88</v>
      </c>
      <c r="C126" s="250" t="s">
        <v>624</v>
      </c>
      <c r="D126" s="253" t="s">
        <v>131</v>
      </c>
      <c r="E126" s="337"/>
      <c r="G126" s="337"/>
    </row>
    <row r="127" spans="2:7" x14ac:dyDescent="0.2">
      <c r="B127" s="249" t="s">
        <v>88</v>
      </c>
      <c r="C127" s="267" t="s">
        <v>244</v>
      </c>
      <c r="D127" s="251" t="s">
        <v>126</v>
      </c>
      <c r="E127" s="337"/>
      <c r="G127" s="337"/>
    </row>
    <row r="128" spans="2:7" x14ac:dyDescent="0.2">
      <c r="C128" s="335" t="s">
        <v>233</v>
      </c>
      <c r="D128" s="251" t="s">
        <v>417</v>
      </c>
      <c r="E128" s="337"/>
      <c r="G128" s="337"/>
    </row>
    <row r="129" spans="1:14" x14ac:dyDescent="0.2">
      <c r="C129" s="335" t="s">
        <v>245</v>
      </c>
      <c r="D129" s="253" t="s">
        <v>123</v>
      </c>
      <c r="E129" s="337"/>
      <c r="G129" s="337"/>
    </row>
    <row r="130" spans="1:14" x14ac:dyDescent="0.2">
      <c r="B130" s="249" t="s">
        <v>88</v>
      </c>
      <c r="C130" s="335" t="s">
        <v>236</v>
      </c>
      <c r="D130" s="251" t="s">
        <v>411</v>
      </c>
      <c r="E130" s="337"/>
      <c r="G130" s="337"/>
    </row>
    <row r="131" spans="1:14" x14ac:dyDescent="0.2">
      <c r="B131" s="249" t="s">
        <v>88</v>
      </c>
      <c r="C131" s="250" t="s">
        <v>405</v>
      </c>
      <c r="D131" s="251" t="s">
        <v>406</v>
      </c>
      <c r="E131" s="337"/>
      <c r="G131" s="337"/>
    </row>
    <row r="132" spans="1:14" x14ac:dyDescent="0.2">
      <c r="C132" s="335" t="s">
        <v>246</v>
      </c>
      <c r="D132" s="253" t="s">
        <v>124</v>
      </c>
      <c r="E132" s="337"/>
      <c r="G132" s="337"/>
    </row>
    <row r="133" spans="1:14" x14ac:dyDescent="0.2">
      <c r="E133" s="337"/>
      <c r="G133" s="337"/>
    </row>
    <row r="134" spans="1:14" x14ac:dyDescent="0.2">
      <c r="C134" s="250"/>
      <c r="E134" s="337"/>
      <c r="G134" s="337"/>
    </row>
    <row r="135" spans="1:14" x14ac:dyDescent="0.2">
      <c r="A135" s="266" t="s">
        <v>69</v>
      </c>
      <c r="B135" s="249" t="s">
        <v>88</v>
      </c>
      <c r="C135" s="249" t="s">
        <v>642</v>
      </c>
      <c r="D135" s="253" t="s">
        <v>643</v>
      </c>
      <c r="E135" s="323">
        <f>E136/12</f>
        <v>5699.3391530333329</v>
      </c>
      <c r="F135" s="323">
        <f>F136/12</f>
        <v>6780.3601990833331</v>
      </c>
      <c r="G135" s="323">
        <f>G136/12</f>
        <v>7861.3812366499997</v>
      </c>
      <c r="H135" s="253" t="s">
        <v>10</v>
      </c>
      <c r="K135" s="269" t="s">
        <v>460</v>
      </c>
      <c r="L135" s="270">
        <f>(F135-E135)/E135</f>
        <v>0.18967480562630729</v>
      </c>
      <c r="M135" s="270">
        <f>(G135-F135)/F135</f>
        <v>0.15943416069736452</v>
      </c>
    </row>
    <row r="136" spans="1:14" x14ac:dyDescent="0.2">
      <c r="B136" s="249" t="s">
        <v>88</v>
      </c>
      <c r="C136" s="335" t="s">
        <v>252</v>
      </c>
      <c r="D136" s="253" t="s">
        <v>138</v>
      </c>
      <c r="E136" s="336">
        <f>67182.7798*$K$2</f>
        <v>68392.069836399998</v>
      </c>
      <c r="F136" s="257">
        <f>79925.6605*$K$2</f>
        <v>81364.322388999994</v>
      </c>
      <c r="G136" s="336">
        <f>92668.5411*$K$2</f>
        <v>94336.5748398</v>
      </c>
      <c r="H136" s="253" t="s">
        <v>529</v>
      </c>
      <c r="K136" s="269" t="s">
        <v>461</v>
      </c>
      <c r="L136" s="270">
        <f>(G135-E135)/E135</f>
        <v>0.37934960976413784</v>
      </c>
    </row>
    <row r="137" spans="1:14" x14ac:dyDescent="0.2">
      <c r="B137" s="249" t="s">
        <v>88</v>
      </c>
      <c r="C137" s="250" t="s">
        <v>228</v>
      </c>
      <c r="D137" s="253" t="s">
        <v>501</v>
      </c>
      <c r="E137" s="252">
        <f>E136/2080</f>
        <v>32.880802805961537</v>
      </c>
      <c r="F137" s="252">
        <f>F136/2080</f>
        <v>39.117462687019227</v>
      </c>
      <c r="G137" s="252">
        <f>G136/2080</f>
        <v>45.354122519134613</v>
      </c>
      <c r="H137" s="253" t="s">
        <v>11</v>
      </c>
      <c r="K137" s="269" t="s">
        <v>462</v>
      </c>
      <c r="L137" s="270">
        <f>(E146-E135)/E135</f>
        <v>5.0488936452135459E-2</v>
      </c>
      <c r="M137" s="270">
        <f>(F146-F135)/F135</f>
        <v>5.0659496270287485E-2</v>
      </c>
      <c r="N137" s="270">
        <f>(G146-G135)/G135</f>
        <v>5.0783149752208746E-2</v>
      </c>
    </row>
    <row r="138" spans="1:14" x14ac:dyDescent="0.2">
      <c r="B138" s="249" t="s">
        <v>88</v>
      </c>
      <c r="C138" s="250" t="s">
        <v>746</v>
      </c>
      <c r="D138" s="253" t="s">
        <v>747</v>
      </c>
      <c r="E138" s="337"/>
      <c r="G138" s="337"/>
    </row>
    <row r="139" spans="1:14" x14ac:dyDescent="0.2">
      <c r="B139" s="249" t="s">
        <v>88</v>
      </c>
      <c r="C139" s="250" t="s">
        <v>748</v>
      </c>
      <c r="D139" s="253" t="s">
        <v>749</v>
      </c>
      <c r="E139" s="337"/>
      <c r="F139" s="338"/>
      <c r="G139" s="337"/>
    </row>
    <row r="140" spans="1:14" x14ac:dyDescent="0.2">
      <c r="B140" s="249" t="s">
        <v>88</v>
      </c>
      <c r="C140" s="335" t="s">
        <v>254</v>
      </c>
      <c r="D140" s="251" t="s">
        <v>822</v>
      </c>
      <c r="E140" s="337"/>
      <c r="G140" s="337"/>
    </row>
    <row r="141" spans="1:14" x14ac:dyDescent="0.2">
      <c r="B141" s="249" t="s">
        <v>88</v>
      </c>
      <c r="C141" s="335" t="s">
        <v>255</v>
      </c>
      <c r="D141" s="253" t="s">
        <v>43</v>
      </c>
      <c r="E141" s="337"/>
      <c r="G141" s="337"/>
    </row>
    <row r="142" spans="1:14" x14ac:dyDescent="0.2">
      <c r="A142" s="501"/>
      <c r="B142" s="501"/>
      <c r="C142" s="335" t="s">
        <v>1073</v>
      </c>
      <c r="D142" s="253" t="s">
        <v>1070</v>
      </c>
      <c r="E142" s="502"/>
      <c r="G142" s="502"/>
    </row>
    <row r="143" spans="1:14" x14ac:dyDescent="0.2">
      <c r="B143" s="249" t="s">
        <v>88</v>
      </c>
      <c r="C143" s="250" t="s">
        <v>641</v>
      </c>
      <c r="D143" s="251" t="s">
        <v>640</v>
      </c>
      <c r="E143" s="337"/>
      <c r="G143" s="337"/>
    </row>
    <row r="144" spans="1:14" x14ac:dyDescent="0.2">
      <c r="B144" s="249" t="s">
        <v>88</v>
      </c>
      <c r="C144" s="250" t="s">
        <v>481</v>
      </c>
      <c r="D144" s="253" t="s">
        <v>482</v>
      </c>
      <c r="E144" s="337"/>
      <c r="G144" s="337"/>
    </row>
    <row r="145" spans="1:14" x14ac:dyDescent="0.2">
      <c r="C145" s="250"/>
      <c r="D145" s="251"/>
      <c r="E145" s="337"/>
      <c r="G145" s="337"/>
    </row>
    <row r="146" spans="1:14" x14ac:dyDescent="0.2">
      <c r="A146" s="266" t="s">
        <v>145</v>
      </c>
      <c r="B146" s="249" t="s">
        <v>88</v>
      </c>
      <c r="C146" s="335" t="s">
        <v>248</v>
      </c>
      <c r="D146" s="251" t="s">
        <v>823</v>
      </c>
      <c r="E146" s="323">
        <f>E147/12</f>
        <v>5987.0927253500004</v>
      </c>
      <c r="F146" s="323">
        <f>F147/12</f>
        <v>7123.8498313000009</v>
      </c>
      <c r="G146" s="323">
        <f>G147/12</f>
        <v>8260.6069372500006</v>
      </c>
      <c r="H146" s="253" t="s">
        <v>10</v>
      </c>
      <c r="K146" s="269" t="s">
        <v>460</v>
      </c>
      <c r="L146" s="270">
        <f>(F146-E146)/E146</f>
        <v>0.1898679639847313</v>
      </c>
      <c r="M146" s="270">
        <f>(G146-F146)/F146</f>
        <v>0.15957061601094386</v>
      </c>
    </row>
    <row r="147" spans="1:14" x14ac:dyDescent="0.2">
      <c r="A147" s="266"/>
      <c r="B147" s="249" t="s">
        <v>88</v>
      </c>
      <c r="C147" s="335" t="s">
        <v>257</v>
      </c>
      <c r="D147" s="251" t="s">
        <v>486</v>
      </c>
      <c r="E147" s="336">
        <f>70574.7669*$K$2</f>
        <v>71845.112704200001</v>
      </c>
      <c r="F147" s="257">
        <f>83974.6542*$K$2</f>
        <v>85486.197975600007</v>
      </c>
      <c r="G147" s="336">
        <f>97374.5415*$K$2</f>
        <v>99127.283247000014</v>
      </c>
      <c r="H147" s="253" t="s">
        <v>529</v>
      </c>
      <c r="K147" s="269" t="s">
        <v>461</v>
      </c>
      <c r="L147" s="270">
        <f>(G146-E146)/E146</f>
        <v>0.37973592796946243</v>
      </c>
    </row>
    <row r="148" spans="1:14" x14ac:dyDescent="0.2">
      <c r="B148" s="249" t="s">
        <v>88</v>
      </c>
      <c r="C148" s="335" t="s">
        <v>258</v>
      </c>
      <c r="D148" s="253" t="s">
        <v>143</v>
      </c>
      <c r="E148" s="252">
        <f>E147/2080</f>
        <v>34.540919569326924</v>
      </c>
      <c r="F148" s="252">
        <f>F147/2080</f>
        <v>41.09913364211539</v>
      </c>
      <c r="G148" s="252">
        <f>G147/2080</f>
        <v>47.65734771490385</v>
      </c>
      <c r="H148" s="253" t="s">
        <v>11</v>
      </c>
      <c r="K148" s="269" t="s">
        <v>462</v>
      </c>
      <c r="L148" s="270">
        <f>(E167-E146)/E146</f>
        <v>5.0876880756654627E-2</v>
      </c>
      <c r="M148" s="270">
        <f>(F167-F146)/F146</f>
        <v>5.0946202050570627E-2</v>
      </c>
      <c r="N148" s="270">
        <f>(G167-G146)/G146</f>
        <v>5.099644345950527E-2</v>
      </c>
    </row>
    <row r="149" spans="1:14" x14ac:dyDescent="0.2">
      <c r="B149" s="249" t="s">
        <v>88</v>
      </c>
      <c r="C149" s="335" t="s">
        <v>259</v>
      </c>
      <c r="D149" s="251" t="s">
        <v>144</v>
      </c>
      <c r="E149" s="337"/>
      <c r="F149" s="252"/>
      <c r="G149" s="337"/>
      <c r="K149" s="269"/>
      <c r="L149" s="270"/>
      <c r="M149" s="270"/>
      <c r="N149" s="270"/>
    </row>
    <row r="150" spans="1:14" x14ac:dyDescent="0.2">
      <c r="B150" s="266" t="s">
        <v>88</v>
      </c>
      <c r="C150" s="250" t="s">
        <v>623</v>
      </c>
      <c r="D150" s="251" t="s">
        <v>978</v>
      </c>
      <c r="E150" s="337"/>
      <c r="F150" s="342"/>
      <c r="G150" s="337"/>
    </row>
    <row r="151" spans="1:14" x14ac:dyDescent="0.2">
      <c r="B151" s="249" t="s">
        <v>88</v>
      </c>
      <c r="C151" s="335" t="s">
        <v>942</v>
      </c>
      <c r="D151" s="251" t="s">
        <v>979</v>
      </c>
      <c r="E151" s="337"/>
      <c r="F151" s="342"/>
      <c r="G151" s="337"/>
    </row>
    <row r="152" spans="1:14" x14ac:dyDescent="0.2">
      <c r="B152" s="249" t="s">
        <v>88</v>
      </c>
      <c r="C152" s="335" t="s">
        <v>250</v>
      </c>
      <c r="D152" s="253" t="s">
        <v>134</v>
      </c>
      <c r="E152" s="337"/>
      <c r="F152" s="342"/>
      <c r="G152" s="337"/>
    </row>
    <row r="153" spans="1:14" x14ac:dyDescent="0.2">
      <c r="B153" s="249" t="s">
        <v>88</v>
      </c>
      <c r="C153" s="335" t="s">
        <v>251</v>
      </c>
      <c r="D153" s="253" t="s">
        <v>135</v>
      </c>
      <c r="E153" s="337"/>
      <c r="F153" s="342"/>
      <c r="G153" s="337"/>
    </row>
    <row r="154" spans="1:14" x14ac:dyDescent="0.2">
      <c r="B154" s="249" t="s">
        <v>88</v>
      </c>
      <c r="C154" s="335" t="s">
        <v>260</v>
      </c>
      <c r="D154" s="253" t="s">
        <v>141</v>
      </c>
      <c r="E154" s="337"/>
      <c r="F154" s="342"/>
      <c r="G154" s="337"/>
    </row>
    <row r="155" spans="1:14" x14ac:dyDescent="0.2">
      <c r="B155" s="249" t="s">
        <v>88</v>
      </c>
      <c r="C155" s="335" t="s">
        <v>237</v>
      </c>
      <c r="D155" s="253" t="s">
        <v>121</v>
      </c>
      <c r="E155" s="337"/>
      <c r="G155" s="337"/>
      <c r="K155" s="269"/>
      <c r="L155" s="270"/>
      <c r="M155" s="270"/>
      <c r="N155" s="270"/>
    </row>
    <row r="156" spans="1:14" x14ac:dyDescent="0.2">
      <c r="B156" s="249" t="s">
        <v>88</v>
      </c>
      <c r="C156" s="335" t="s">
        <v>963</v>
      </c>
      <c r="D156" s="253" t="s">
        <v>964</v>
      </c>
      <c r="E156" s="337"/>
      <c r="F156" s="338"/>
      <c r="G156" s="337"/>
    </row>
    <row r="157" spans="1:14" x14ac:dyDescent="0.2">
      <c r="B157" s="249" t="s">
        <v>88</v>
      </c>
      <c r="C157" s="335" t="s">
        <v>416</v>
      </c>
      <c r="D157" s="251" t="s">
        <v>625</v>
      </c>
      <c r="E157" s="337"/>
      <c r="F157" s="338"/>
      <c r="G157" s="337"/>
    </row>
    <row r="158" spans="1:14" x14ac:dyDescent="0.2">
      <c r="B158" s="249" t="s">
        <v>88</v>
      </c>
      <c r="C158" s="250" t="s">
        <v>546</v>
      </c>
      <c r="D158" s="253" t="s">
        <v>547</v>
      </c>
      <c r="E158" s="337"/>
      <c r="G158" s="337"/>
    </row>
    <row r="159" spans="1:14" x14ac:dyDescent="0.2">
      <c r="B159" s="249" t="s">
        <v>88</v>
      </c>
      <c r="C159" s="250" t="s">
        <v>751</v>
      </c>
      <c r="D159" s="253" t="s">
        <v>752</v>
      </c>
      <c r="E159" s="337"/>
      <c r="G159" s="337"/>
    </row>
    <row r="160" spans="1:14" x14ac:dyDescent="0.2">
      <c r="B160" s="249" t="s">
        <v>88</v>
      </c>
      <c r="C160" s="250" t="s">
        <v>753</v>
      </c>
      <c r="D160" s="253" t="s">
        <v>754</v>
      </c>
      <c r="E160" s="337"/>
      <c r="G160" s="337"/>
    </row>
    <row r="161" spans="1:14" x14ac:dyDescent="0.2">
      <c r="B161" s="249" t="s">
        <v>88</v>
      </c>
      <c r="C161" s="335" t="s">
        <v>527</v>
      </c>
      <c r="D161" s="253" t="s">
        <v>528</v>
      </c>
      <c r="E161" s="337"/>
      <c r="G161" s="337"/>
    </row>
    <row r="162" spans="1:14" x14ac:dyDescent="0.2">
      <c r="B162" s="249" t="s">
        <v>88</v>
      </c>
      <c r="C162" s="250" t="s">
        <v>870</v>
      </c>
      <c r="D162" s="253" t="s">
        <v>871</v>
      </c>
      <c r="E162" s="337"/>
      <c r="G162" s="337"/>
    </row>
    <row r="163" spans="1:14" x14ac:dyDescent="0.2">
      <c r="B163" s="249" t="s">
        <v>88</v>
      </c>
      <c r="C163" s="250" t="s">
        <v>868</v>
      </c>
      <c r="D163" s="253" t="s">
        <v>869</v>
      </c>
      <c r="E163" s="337"/>
      <c r="G163" s="337"/>
    </row>
    <row r="164" spans="1:14" x14ac:dyDescent="0.2">
      <c r="B164" s="249" t="s">
        <v>88</v>
      </c>
      <c r="C164" s="250" t="s">
        <v>967</v>
      </c>
      <c r="D164" s="253" t="s">
        <v>968</v>
      </c>
      <c r="E164" s="337"/>
      <c r="G164" s="337"/>
    </row>
    <row r="165" spans="1:14" x14ac:dyDescent="0.2">
      <c r="B165" s="249" t="s">
        <v>88</v>
      </c>
      <c r="C165" s="250" t="s">
        <v>750</v>
      </c>
      <c r="D165" s="253" t="s">
        <v>931</v>
      </c>
      <c r="E165" s="337"/>
      <c r="G165" s="337"/>
    </row>
    <row r="166" spans="1:14" x14ac:dyDescent="0.2">
      <c r="E166" s="337"/>
      <c r="G166" s="337"/>
    </row>
    <row r="167" spans="1:14" x14ac:dyDescent="0.2">
      <c r="A167" s="266" t="s">
        <v>70</v>
      </c>
      <c r="B167" s="249" t="s">
        <v>88</v>
      </c>
      <c r="C167" s="335" t="s">
        <v>263</v>
      </c>
      <c r="D167" s="253" t="s">
        <v>148</v>
      </c>
      <c r="E167" s="323">
        <f>E168/12</f>
        <v>6291.6973280166667</v>
      </c>
      <c r="F167" s="323">
        <f>F168/12</f>
        <v>7486.7829241833342</v>
      </c>
      <c r="G167" s="323">
        <f>G168/12</f>
        <v>8681.8685118666672</v>
      </c>
      <c r="H167" s="253" t="s">
        <v>10</v>
      </c>
      <c r="K167" s="269" t="s">
        <v>460</v>
      </c>
      <c r="L167" s="270">
        <f>(F167-E167)/E167</f>
        <v>0.1899464538519679</v>
      </c>
      <c r="M167" s="270">
        <f>(G167-F167)/F167</f>
        <v>0.15962605030567173</v>
      </c>
    </row>
    <row r="168" spans="1:14" ht="12.2" customHeight="1" x14ac:dyDescent="0.2">
      <c r="B168" s="249" t="s">
        <v>88</v>
      </c>
      <c r="C168" s="249" t="s">
        <v>1018</v>
      </c>
      <c r="D168" s="253" t="s">
        <v>165</v>
      </c>
      <c r="E168" s="323">
        <f>74165.3909*$K$2</f>
        <v>75500.367936199997</v>
      </c>
      <c r="F168" s="323">
        <f>88252.8439*$K$2</f>
        <v>89841.395090200007</v>
      </c>
      <c r="G168" s="323">
        <f>102340.2968*$K$2</f>
        <v>104182.4221424</v>
      </c>
      <c r="H168" s="323" t="s">
        <v>529</v>
      </c>
      <c r="K168" s="269" t="s">
        <v>461</v>
      </c>
      <c r="L168" s="270">
        <f>(G167-E167)/E167</f>
        <v>0.3798929063555978</v>
      </c>
    </row>
    <row r="169" spans="1:14" x14ac:dyDescent="0.2">
      <c r="B169" s="249" t="s">
        <v>88</v>
      </c>
      <c r="C169" s="335" t="s">
        <v>264</v>
      </c>
      <c r="D169" s="253" t="s">
        <v>45</v>
      </c>
      <c r="E169" s="323">
        <f>E168/2080</f>
        <v>36.29825381548077</v>
      </c>
      <c r="F169" s="323">
        <f>F168/2080</f>
        <v>43.192978408750001</v>
      </c>
      <c r="G169" s="323">
        <f>G168/2080</f>
        <v>50.087702953076921</v>
      </c>
      <c r="H169" s="323" t="s">
        <v>11</v>
      </c>
      <c r="K169" s="269" t="s">
        <v>462</v>
      </c>
      <c r="L169" s="270">
        <f>(E188-E167)/E167</f>
        <v>5.0885829012734363E-2</v>
      </c>
      <c r="M169" s="270">
        <f>(F188-F167)/F167</f>
        <v>5.0813672419229357E-2</v>
      </c>
      <c r="N169" s="270">
        <f>(G188-G167)/G167</f>
        <v>5.0761381024253545E-2</v>
      </c>
    </row>
    <row r="170" spans="1:14" x14ac:dyDescent="0.2">
      <c r="B170" s="249" t="s">
        <v>88</v>
      </c>
      <c r="C170" s="335" t="s">
        <v>265</v>
      </c>
      <c r="D170" s="253" t="s">
        <v>50</v>
      </c>
      <c r="E170" s="323"/>
      <c r="F170" s="323"/>
      <c r="G170" s="323"/>
      <c r="H170" s="323"/>
      <c r="K170" s="269"/>
      <c r="L170" s="270"/>
      <c r="M170" s="270"/>
      <c r="N170" s="270"/>
    </row>
    <row r="171" spans="1:14" x14ac:dyDescent="0.2">
      <c r="B171" s="249" t="s">
        <v>88</v>
      </c>
      <c r="C171" s="335" t="s">
        <v>266</v>
      </c>
      <c r="D171" s="253" t="s">
        <v>147</v>
      </c>
      <c r="E171" s="323"/>
      <c r="F171" s="323"/>
      <c r="G171" s="323"/>
      <c r="H171" s="323"/>
    </row>
    <row r="172" spans="1:14" x14ac:dyDescent="0.2">
      <c r="B172" s="249" t="s">
        <v>88</v>
      </c>
      <c r="C172" s="335" t="s">
        <v>267</v>
      </c>
      <c r="D172" s="253" t="s">
        <v>44</v>
      </c>
      <c r="E172" s="323"/>
      <c r="F172" s="323"/>
      <c r="G172" s="323"/>
      <c r="H172" s="323"/>
    </row>
    <row r="173" spans="1:14" x14ac:dyDescent="0.2">
      <c r="B173" s="249" t="s">
        <v>88</v>
      </c>
      <c r="C173" s="250" t="s">
        <v>755</v>
      </c>
      <c r="D173" s="253" t="s">
        <v>756</v>
      </c>
      <c r="E173" s="323"/>
      <c r="F173" s="323"/>
      <c r="G173" s="323"/>
      <c r="H173" s="323"/>
    </row>
    <row r="174" spans="1:14" x14ac:dyDescent="0.2">
      <c r="B174" s="249" t="s">
        <v>88</v>
      </c>
      <c r="C174" s="250" t="s">
        <v>757</v>
      </c>
      <c r="D174" s="253" t="s">
        <v>758</v>
      </c>
      <c r="E174" s="323"/>
      <c r="F174" s="323"/>
      <c r="G174" s="323"/>
      <c r="H174" s="323"/>
    </row>
    <row r="175" spans="1:14" x14ac:dyDescent="0.2">
      <c r="B175" s="249" t="s">
        <v>88</v>
      </c>
      <c r="C175" s="250" t="s">
        <v>650</v>
      </c>
      <c r="D175" s="253" t="s">
        <v>880</v>
      </c>
      <c r="E175" s="323"/>
      <c r="F175" s="323"/>
      <c r="G175" s="323"/>
      <c r="H175" s="323"/>
    </row>
    <row r="176" spans="1:14" x14ac:dyDescent="0.2">
      <c r="B176" s="249" t="s">
        <v>88</v>
      </c>
      <c r="C176" s="250" t="s">
        <v>484</v>
      </c>
      <c r="D176" s="253" t="s">
        <v>468</v>
      </c>
      <c r="E176" s="323"/>
      <c r="F176" s="323"/>
      <c r="G176" s="323"/>
      <c r="H176" s="323"/>
    </row>
    <row r="177" spans="1:14" x14ac:dyDescent="0.2">
      <c r="B177" s="249" t="s">
        <v>88</v>
      </c>
      <c r="C177" s="335" t="s">
        <v>268</v>
      </c>
      <c r="D177" s="253" t="s">
        <v>149</v>
      </c>
      <c r="E177" s="323"/>
      <c r="F177" s="323"/>
      <c r="G177" s="323"/>
      <c r="H177" s="323"/>
    </row>
    <row r="178" spans="1:14" x14ac:dyDescent="0.2">
      <c r="B178" s="249" t="s">
        <v>88</v>
      </c>
      <c r="C178" s="335" t="s">
        <v>269</v>
      </c>
      <c r="D178" s="253" t="s">
        <v>146</v>
      </c>
      <c r="E178" s="337"/>
      <c r="G178" s="337"/>
    </row>
    <row r="179" spans="1:14" x14ac:dyDescent="0.2">
      <c r="B179" s="249" t="s">
        <v>88</v>
      </c>
      <c r="C179" s="335" t="s">
        <v>270</v>
      </c>
      <c r="D179" s="253" t="s">
        <v>150</v>
      </c>
      <c r="E179" s="337"/>
      <c r="G179" s="337"/>
    </row>
    <row r="180" spans="1:14" x14ac:dyDescent="0.2">
      <c r="B180" s="249" t="s">
        <v>88</v>
      </c>
      <c r="C180" s="335" t="s">
        <v>262</v>
      </c>
      <c r="D180" s="253" t="s">
        <v>142</v>
      </c>
      <c r="E180" s="337"/>
      <c r="G180" s="337"/>
    </row>
    <row r="181" spans="1:14" x14ac:dyDescent="0.2">
      <c r="B181" s="249" t="s">
        <v>88</v>
      </c>
      <c r="C181" s="335" t="s">
        <v>271</v>
      </c>
      <c r="D181" s="253" t="s">
        <v>151</v>
      </c>
      <c r="E181" s="337"/>
      <c r="G181" s="337"/>
    </row>
    <row r="182" spans="1:14" x14ac:dyDescent="0.2">
      <c r="B182" s="249" t="s">
        <v>88</v>
      </c>
      <c r="C182" s="335" t="s">
        <v>272</v>
      </c>
      <c r="D182" s="253" t="s">
        <v>47</v>
      </c>
      <c r="E182" s="337"/>
      <c r="G182" s="337"/>
    </row>
    <row r="183" spans="1:14" x14ac:dyDescent="0.2">
      <c r="B183" s="249" t="s">
        <v>88</v>
      </c>
      <c r="C183" s="335" t="s">
        <v>273</v>
      </c>
      <c r="D183" s="253" t="s">
        <v>48</v>
      </c>
      <c r="E183" s="337"/>
      <c r="G183" s="337"/>
    </row>
    <row r="184" spans="1:14" x14ac:dyDescent="0.2">
      <c r="B184" s="249" t="s">
        <v>88</v>
      </c>
      <c r="C184" s="335" t="s">
        <v>961</v>
      </c>
      <c r="D184" s="253" t="s">
        <v>962</v>
      </c>
      <c r="E184" s="337"/>
      <c r="G184" s="337"/>
    </row>
    <row r="185" spans="1:14" x14ac:dyDescent="0.2">
      <c r="B185" s="249" t="s">
        <v>88</v>
      </c>
      <c r="C185" s="335" t="s">
        <v>247</v>
      </c>
      <c r="D185" s="253" t="s">
        <v>130</v>
      </c>
      <c r="E185" s="337"/>
      <c r="G185" s="337"/>
    </row>
    <row r="186" spans="1:14" x14ac:dyDescent="0.2">
      <c r="B186" s="249" t="s">
        <v>88</v>
      </c>
      <c r="C186" s="335" t="s">
        <v>256</v>
      </c>
      <c r="D186" s="253" t="s">
        <v>137</v>
      </c>
      <c r="E186" s="337"/>
      <c r="G186" s="337"/>
    </row>
    <row r="187" spans="1:14" x14ac:dyDescent="0.2">
      <c r="C187" s="335"/>
      <c r="E187" s="337"/>
      <c r="G187" s="337"/>
    </row>
    <row r="188" spans="1:14" x14ac:dyDescent="0.2">
      <c r="A188" s="266" t="s">
        <v>71</v>
      </c>
      <c r="B188" s="249" t="s">
        <v>88</v>
      </c>
      <c r="C188" s="335" t="s">
        <v>274</v>
      </c>
      <c r="D188" s="251" t="s">
        <v>483</v>
      </c>
      <c r="E188" s="323">
        <f>E189/12</f>
        <v>6611.8555624500004</v>
      </c>
      <c r="F188" s="323">
        <f>F189/12</f>
        <v>7867.2138591666662</v>
      </c>
      <c r="G188" s="323">
        <f>G189/12</f>
        <v>9122.5721474000002</v>
      </c>
      <c r="H188" s="253" t="s">
        <v>10</v>
      </c>
      <c r="K188" s="269" t="s">
        <v>460</v>
      </c>
      <c r="L188" s="270">
        <f>(F188-E188)/E188</f>
        <v>0.18986474898908667</v>
      </c>
      <c r="M188" s="270">
        <f>(G188-F188)/F188</f>
        <v>0.15956834410578838</v>
      </c>
    </row>
    <row r="189" spans="1:14" x14ac:dyDescent="0.2">
      <c r="B189" s="249" t="s">
        <v>88</v>
      </c>
      <c r="C189" s="249" t="s">
        <v>1007</v>
      </c>
      <c r="D189" s="253" t="s">
        <v>1006</v>
      </c>
      <c r="E189" s="336">
        <f>77939.3583*$K$2</f>
        <v>79342.266749400005</v>
      </c>
      <c r="F189" s="257">
        <f>92737.295*$K$2</f>
        <v>94406.566309999995</v>
      </c>
      <c r="G189" s="336">
        <f>107535.2316*$K$2</f>
        <v>109470.86576879999</v>
      </c>
      <c r="H189" s="253" t="s">
        <v>529</v>
      </c>
      <c r="K189" s="269" t="s">
        <v>461</v>
      </c>
      <c r="L189" s="270">
        <f>(G188-E188)/E188</f>
        <v>0.37972949669512479</v>
      </c>
    </row>
    <row r="190" spans="1:14" x14ac:dyDescent="0.2">
      <c r="B190" s="249" t="s">
        <v>88</v>
      </c>
      <c r="C190" s="250" t="s">
        <v>941</v>
      </c>
      <c r="D190" s="251" t="s">
        <v>980</v>
      </c>
      <c r="E190" s="252">
        <f>E189/2080</f>
        <v>38.145320552596154</v>
      </c>
      <c r="F190" s="252">
        <f>F189/2080</f>
        <v>45.387772264423077</v>
      </c>
      <c r="G190" s="252">
        <f>G189/2080</f>
        <v>52.630223927307689</v>
      </c>
      <c r="H190" s="253" t="s">
        <v>11</v>
      </c>
      <c r="K190" s="269"/>
      <c r="L190" s="270"/>
    </row>
    <row r="191" spans="1:14" x14ac:dyDescent="0.2">
      <c r="B191" s="249" t="s">
        <v>88</v>
      </c>
      <c r="C191" s="250" t="s">
        <v>759</v>
      </c>
      <c r="D191" s="339" t="s">
        <v>760</v>
      </c>
      <c r="E191" s="253"/>
      <c r="F191" s="253"/>
      <c r="G191" s="253"/>
      <c r="K191" s="269" t="s">
        <v>462</v>
      </c>
      <c r="L191" s="270">
        <f>(E202-E188)/E188</f>
        <v>5.0578292995773801E-2</v>
      </c>
      <c r="M191" s="270">
        <f>(F202-F188)/F188</f>
        <v>5.0827895077163968E-2</v>
      </c>
      <c r="N191" s="270">
        <f>(G202-G188)/G188</f>
        <v>5.1008801658637047E-2</v>
      </c>
    </row>
    <row r="192" spans="1:14" x14ac:dyDescent="0.2">
      <c r="B192" s="249" t="s">
        <v>88</v>
      </c>
      <c r="C192" s="250" t="s">
        <v>761</v>
      </c>
      <c r="D192" s="339" t="s">
        <v>762</v>
      </c>
      <c r="E192" s="252"/>
      <c r="F192" s="252"/>
      <c r="G192" s="252"/>
      <c r="K192" s="269"/>
      <c r="L192" s="270"/>
      <c r="M192" s="270"/>
      <c r="N192" s="270"/>
    </row>
    <row r="193" spans="1:14" x14ac:dyDescent="0.2">
      <c r="B193" s="249" t="s">
        <v>88</v>
      </c>
      <c r="C193" s="250" t="s">
        <v>763</v>
      </c>
      <c r="D193" s="339" t="s">
        <v>764</v>
      </c>
      <c r="E193" s="252"/>
      <c r="F193" s="252"/>
      <c r="G193" s="252"/>
      <c r="K193" s="269"/>
      <c r="L193" s="270"/>
      <c r="M193" s="270"/>
      <c r="N193" s="270"/>
    </row>
    <row r="194" spans="1:14" x14ac:dyDescent="0.2">
      <c r="B194" s="249" t="s">
        <v>88</v>
      </c>
      <c r="C194" s="250" t="s">
        <v>1019</v>
      </c>
      <c r="D194" s="339" t="s">
        <v>1012</v>
      </c>
      <c r="E194" s="252"/>
      <c r="F194" s="252"/>
      <c r="G194" s="252"/>
      <c r="K194" s="269"/>
      <c r="L194" s="270"/>
      <c r="M194" s="270"/>
      <c r="N194" s="270"/>
    </row>
    <row r="195" spans="1:14" x14ac:dyDescent="0.2">
      <c r="B195" s="249" t="s">
        <v>88</v>
      </c>
      <c r="C195" s="250" t="s">
        <v>905</v>
      </c>
      <c r="D195" s="339" t="s">
        <v>906</v>
      </c>
      <c r="E195" s="252"/>
      <c r="F195" s="252"/>
      <c r="G195" s="252"/>
      <c r="K195" s="269"/>
      <c r="L195" s="270"/>
      <c r="M195" s="270"/>
      <c r="N195" s="270"/>
    </row>
    <row r="196" spans="1:14" x14ac:dyDescent="0.2">
      <c r="B196" s="249" t="s">
        <v>88</v>
      </c>
      <c r="C196" s="335" t="s">
        <v>261</v>
      </c>
      <c r="D196" s="253" t="s">
        <v>140</v>
      </c>
      <c r="E196" s="337"/>
      <c r="G196" s="337"/>
    </row>
    <row r="197" spans="1:14" x14ac:dyDescent="0.2">
      <c r="B197" s="249" t="s">
        <v>88</v>
      </c>
      <c r="C197" s="250" t="s">
        <v>1079</v>
      </c>
      <c r="D197" s="339" t="s">
        <v>1080</v>
      </c>
      <c r="E197" s="337"/>
      <c r="G197" s="337"/>
    </row>
    <row r="198" spans="1:14" x14ac:dyDescent="0.2">
      <c r="B198" s="249" t="s">
        <v>88</v>
      </c>
      <c r="C198" s="335" t="s">
        <v>277</v>
      </c>
      <c r="D198" s="251" t="s">
        <v>491</v>
      </c>
      <c r="E198" s="337"/>
      <c r="G198" s="337"/>
    </row>
    <row r="199" spans="1:14" x14ac:dyDescent="0.2">
      <c r="B199" s="249" t="s">
        <v>88</v>
      </c>
      <c r="C199" s="249" t="s">
        <v>413</v>
      </c>
      <c r="D199" s="339" t="s">
        <v>639</v>
      </c>
      <c r="E199" s="337"/>
      <c r="G199" s="337"/>
    </row>
    <row r="200" spans="1:14" x14ac:dyDescent="0.2">
      <c r="B200" s="249" t="s">
        <v>88</v>
      </c>
      <c r="C200" s="335" t="s">
        <v>278</v>
      </c>
      <c r="D200" s="253" t="s">
        <v>154</v>
      </c>
      <c r="E200" s="337"/>
      <c r="G200" s="337"/>
    </row>
    <row r="201" spans="1:14" x14ac:dyDescent="0.2">
      <c r="B201" s="253"/>
      <c r="C201" s="253"/>
      <c r="E201" s="337"/>
      <c r="G201" s="337"/>
    </row>
    <row r="202" spans="1:14" x14ac:dyDescent="0.2">
      <c r="A202" s="266" t="s">
        <v>72</v>
      </c>
      <c r="B202" s="249" t="s">
        <v>88</v>
      </c>
      <c r="C202" s="249" t="s">
        <v>765</v>
      </c>
      <c r="D202" s="253" t="s">
        <v>766</v>
      </c>
      <c r="E202" s="323">
        <f>E203/12</f>
        <v>6946.2719303333333</v>
      </c>
      <c r="F202" s="323">
        <f>F203/12</f>
        <v>8267.0877797499998</v>
      </c>
      <c r="G202" s="323">
        <f>G203/12</f>
        <v>9587.9036206833334</v>
      </c>
      <c r="H202" s="253" t="s">
        <v>10</v>
      </c>
      <c r="K202" s="269" t="s">
        <v>460</v>
      </c>
      <c r="L202" s="270">
        <f>(F202-E202)/E202</f>
        <v>0.19014744350114782</v>
      </c>
      <c r="M202" s="270">
        <f>(G202-F202)/F202</f>
        <v>0.15976797103432663</v>
      </c>
    </row>
    <row r="203" spans="1:14" x14ac:dyDescent="0.2">
      <c r="A203" s="266"/>
      <c r="B203" s="249" t="s">
        <v>88</v>
      </c>
      <c r="C203" s="250" t="s">
        <v>767</v>
      </c>
      <c r="D203" s="253" t="s">
        <v>768</v>
      </c>
      <c r="E203" s="336">
        <f>81881.398*$K$2</f>
        <v>83355.263164000004</v>
      </c>
      <c r="F203" s="257">
        <f>97450.9365*$K$2</f>
        <v>99205.053356999997</v>
      </c>
      <c r="G203" s="336">
        <f>113020.4749*$K$2</f>
        <v>115054.8434482</v>
      </c>
      <c r="H203" s="253" t="s">
        <v>529</v>
      </c>
      <c r="K203" s="269" t="s">
        <v>461</v>
      </c>
      <c r="L203" s="270">
        <f>(G202-E202)/E202</f>
        <v>0.38029488578101711</v>
      </c>
    </row>
    <row r="204" spans="1:14" x14ac:dyDescent="0.2">
      <c r="A204" s="266"/>
      <c r="B204" s="249" t="s">
        <v>88</v>
      </c>
      <c r="C204" s="250" t="s">
        <v>769</v>
      </c>
      <c r="D204" s="253" t="s">
        <v>770</v>
      </c>
      <c r="E204" s="252">
        <f>E203/2080</f>
        <v>40.074645751923079</v>
      </c>
      <c r="F204" s="252">
        <f>F203/2080</f>
        <v>47.694737190865382</v>
      </c>
      <c r="G204" s="252">
        <f>G203/2080</f>
        <v>55.314828580865388</v>
      </c>
      <c r="H204" s="253" t="s">
        <v>11</v>
      </c>
      <c r="K204" s="269" t="s">
        <v>462</v>
      </c>
      <c r="L204" s="270">
        <f>(E212-E202)/E202</f>
        <v>5.1128980479791031E-2</v>
      </c>
      <c r="M204" s="270">
        <f>(F212-F202)/F202</f>
        <v>5.0878055953828813E-2</v>
      </c>
      <c r="N204" s="270">
        <f>(G212-G202)/G202</f>
        <v>5.0696265478176586E-2</v>
      </c>
    </row>
    <row r="205" spans="1:14" x14ac:dyDescent="0.2">
      <c r="A205" s="266"/>
      <c r="B205" s="249" t="s">
        <v>88</v>
      </c>
      <c r="C205" s="335" t="s">
        <v>281</v>
      </c>
      <c r="D205" s="253" t="s">
        <v>155</v>
      </c>
      <c r="E205" s="323"/>
      <c r="F205" s="323"/>
      <c r="G205" s="323"/>
      <c r="K205" s="269"/>
      <c r="L205" s="270"/>
      <c r="M205" s="270"/>
    </row>
    <row r="206" spans="1:14" x14ac:dyDescent="0.2">
      <c r="B206" s="249" t="s">
        <v>88</v>
      </c>
      <c r="C206" s="250" t="s">
        <v>282</v>
      </c>
      <c r="D206" s="251" t="s">
        <v>515</v>
      </c>
      <c r="E206" s="342"/>
      <c r="F206" s="342"/>
      <c r="G206" s="342"/>
    </row>
    <row r="207" spans="1:14" x14ac:dyDescent="0.2">
      <c r="B207" s="249" t="s">
        <v>88</v>
      </c>
      <c r="C207" s="250" t="s">
        <v>1013</v>
      </c>
      <c r="D207" s="253" t="s">
        <v>1010</v>
      </c>
      <c r="E207" s="342"/>
      <c r="F207" s="342"/>
      <c r="G207" s="342"/>
    </row>
    <row r="208" spans="1:14" x14ac:dyDescent="0.2">
      <c r="B208" s="249" t="s">
        <v>88</v>
      </c>
      <c r="C208" s="250" t="s">
        <v>214</v>
      </c>
      <c r="D208" s="339" t="s">
        <v>46</v>
      </c>
      <c r="E208" s="337"/>
      <c r="G208" s="337"/>
    </row>
    <row r="209" spans="1:14" x14ac:dyDescent="0.2">
      <c r="B209" s="249" t="s">
        <v>88</v>
      </c>
      <c r="C209" s="335" t="s">
        <v>275</v>
      </c>
      <c r="D209" s="253" t="s">
        <v>152</v>
      </c>
      <c r="E209" s="337"/>
      <c r="F209" s="338"/>
      <c r="G209" s="337"/>
    </row>
    <row r="210" spans="1:14" x14ac:dyDescent="0.2">
      <c r="B210" s="249" t="s">
        <v>88</v>
      </c>
      <c r="C210" s="335" t="s">
        <v>276</v>
      </c>
      <c r="D210" s="339" t="s">
        <v>153</v>
      </c>
      <c r="E210" s="337"/>
      <c r="F210" s="338"/>
      <c r="G210" s="337"/>
    </row>
    <row r="211" spans="1:14" x14ac:dyDescent="0.2">
      <c r="C211" s="335"/>
      <c r="D211" s="339"/>
      <c r="E211" s="337"/>
      <c r="G211" s="337"/>
    </row>
    <row r="212" spans="1:14" x14ac:dyDescent="0.2">
      <c r="A212" s="266" t="s">
        <v>73</v>
      </c>
      <c r="B212" s="249" t="s">
        <v>88</v>
      </c>
      <c r="C212" s="250" t="s">
        <v>414</v>
      </c>
      <c r="D212" s="339" t="s">
        <v>415</v>
      </c>
      <c r="E212" s="323">
        <f>E213/12</f>
        <v>7301.4277322666667</v>
      </c>
      <c r="F212" s="323">
        <f>F213/12</f>
        <v>8687.7011343833346</v>
      </c>
      <c r="G212" s="323">
        <f>G213/12</f>
        <v>10073.974528016666</v>
      </c>
      <c r="H212" s="253" t="s">
        <v>10</v>
      </c>
      <c r="K212" s="269" t="s">
        <v>460</v>
      </c>
      <c r="L212" s="270">
        <f>(F212-E212)/E212</f>
        <v>0.18986333261786748</v>
      </c>
      <c r="M212" s="270">
        <f>(G212-F212)/F212</f>
        <v>0.15956734378751522</v>
      </c>
    </row>
    <row r="213" spans="1:14" x14ac:dyDescent="0.2">
      <c r="B213" s="249" t="s">
        <v>88</v>
      </c>
      <c r="C213" s="335" t="s">
        <v>279</v>
      </c>
      <c r="D213" s="251" t="s">
        <v>824</v>
      </c>
      <c r="E213" s="336">
        <f>86067.9104*$K$2</f>
        <v>87617.132787199997</v>
      </c>
      <c r="F213" s="257">
        <f>102409.0507*$K$2</f>
        <v>104252.41361260001</v>
      </c>
      <c r="G213" s="336">
        <f>118750.1909*$K$2</f>
        <v>120887.6943362</v>
      </c>
      <c r="H213" s="253" t="s">
        <v>529</v>
      </c>
      <c r="K213" s="269" t="s">
        <v>461</v>
      </c>
      <c r="L213" s="270">
        <f>(G212-E212)/E212</f>
        <v>0.3797266640738613</v>
      </c>
    </row>
    <row r="214" spans="1:14" x14ac:dyDescent="0.2">
      <c r="B214" s="249" t="s">
        <v>88</v>
      </c>
      <c r="C214" s="335" t="s">
        <v>284</v>
      </c>
      <c r="D214" s="253" t="s">
        <v>157</v>
      </c>
      <c r="E214" s="252">
        <f>E213/2080</f>
        <v>42.123621532307688</v>
      </c>
      <c r="F214" s="252">
        <f>F213/2080</f>
        <v>50.121352698365392</v>
      </c>
      <c r="G214" s="252">
        <f>G213/2080</f>
        <v>58.119083815480771</v>
      </c>
      <c r="H214" s="253" t="s">
        <v>11</v>
      </c>
      <c r="K214" s="269" t="s">
        <v>462</v>
      </c>
      <c r="L214" s="270">
        <f>(E238-E212)/E212</f>
        <v>5.0772313161677449E-2</v>
      </c>
      <c r="M214" s="270">
        <f>(F238-F212)/F212</f>
        <v>5.0876582337072436E-2</v>
      </c>
      <c r="N214" s="270">
        <f>(G238-G212)/G212</f>
        <v>5.0952155564071816E-2</v>
      </c>
    </row>
    <row r="215" spans="1:14" x14ac:dyDescent="0.2">
      <c r="B215" s="249" t="s">
        <v>88</v>
      </c>
      <c r="C215" s="335" t="s">
        <v>285</v>
      </c>
      <c r="D215" s="251" t="s">
        <v>487</v>
      </c>
      <c r="E215" s="337"/>
      <c r="G215" s="337"/>
    </row>
    <row r="216" spans="1:14" x14ac:dyDescent="0.2">
      <c r="B216" s="249" t="s">
        <v>88</v>
      </c>
      <c r="C216" s="250" t="s">
        <v>907</v>
      </c>
      <c r="D216" s="253" t="s">
        <v>908</v>
      </c>
      <c r="E216" s="337"/>
      <c r="F216" s="338"/>
      <c r="G216" s="337"/>
    </row>
    <row r="217" spans="1:14" x14ac:dyDescent="0.2">
      <c r="A217" s="501"/>
      <c r="B217" s="501" t="s">
        <v>88</v>
      </c>
      <c r="C217" s="250" t="s">
        <v>1071</v>
      </c>
      <c r="D217" s="339" t="s">
        <v>1069</v>
      </c>
      <c r="E217" s="502"/>
      <c r="F217" s="338"/>
      <c r="G217" s="502"/>
    </row>
    <row r="218" spans="1:14" x14ac:dyDescent="0.2">
      <c r="B218" s="249" t="s">
        <v>88</v>
      </c>
      <c r="C218" s="335" t="s">
        <v>287</v>
      </c>
      <c r="D218" s="339" t="s">
        <v>156</v>
      </c>
      <c r="E218" s="337"/>
      <c r="G218" s="337"/>
    </row>
    <row r="219" spans="1:14" x14ac:dyDescent="0.2">
      <c r="B219" s="249" t="s">
        <v>88</v>
      </c>
      <c r="C219" s="501" t="s">
        <v>280</v>
      </c>
      <c r="D219" s="253" t="s">
        <v>390</v>
      </c>
      <c r="E219" s="337"/>
      <c r="G219" s="337"/>
    </row>
    <row r="220" spans="1:14" x14ac:dyDescent="0.2">
      <c r="B220" s="249" t="s">
        <v>88</v>
      </c>
      <c r="C220" s="335" t="s">
        <v>288</v>
      </c>
      <c r="D220" s="253" t="s">
        <v>160</v>
      </c>
      <c r="E220" s="337"/>
      <c r="G220" s="337"/>
    </row>
    <row r="221" spans="1:14" x14ac:dyDescent="0.2">
      <c r="B221" s="249" t="s">
        <v>88</v>
      </c>
      <c r="C221" s="335" t="s">
        <v>289</v>
      </c>
      <c r="D221" s="253" t="s">
        <v>159</v>
      </c>
      <c r="E221" s="337"/>
      <c r="G221" s="337"/>
    </row>
    <row r="222" spans="1:14" x14ac:dyDescent="0.2">
      <c r="B222" s="249" t="s">
        <v>88</v>
      </c>
      <c r="C222" s="335" t="s">
        <v>290</v>
      </c>
      <c r="D222" s="253" t="s">
        <v>51</v>
      </c>
      <c r="E222" s="337"/>
      <c r="G222" s="337"/>
    </row>
    <row r="223" spans="1:14" x14ac:dyDescent="0.2">
      <c r="B223" s="249" t="s">
        <v>88</v>
      </c>
      <c r="C223" s="250" t="s">
        <v>813</v>
      </c>
      <c r="D223" s="253" t="s">
        <v>955</v>
      </c>
      <c r="E223" s="337"/>
      <c r="G223" s="337"/>
    </row>
    <row r="224" spans="1:14" x14ac:dyDescent="0.2">
      <c r="B224" s="249" t="s">
        <v>88</v>
      </c>
      <c r="C224" s="250" t="s">
        <v>936</v>
      </c>
      <c r="D224" s="253" t="s">
        <v>937</v>
      </c>
      <c r="E224" s="337"/>
      <c r="G224" s="337"/>
    </row>
    <row r="225" spans="1:14" x14ac:dyDescent="0.2">
      <c r="B225" s="249" t="s">
        <v>88</v>
      </c>
      <c r="C225" s="250" t="s">
        <v>876</v>
      </c>
      <c r="D225" s="253" t="s">
        <v>877</v>
      </c>
      <c r="E225" s="337"/>
      <c r="G225" s="337"/>
    </row>
    <row r="226" spans="1:14" x14ac:dyDescent="0.2">
      <c r="B226" s="249" t="s">
        <v>88</v>
      </c>
      <c r="C226" s="250" t="s">
        <v>771</v>
      </c>
      <c r="D226" s="253" t="s">
        <v>772</v>
      </c>
      <c r="E226" s="337"/>
      <c r="G226" s="337"/>
    </row>
    <row r="227" spans="1:14" x14ac:dyDescent="0.2">
      <c r="B227" s="249" t="s">
        <v>88</v>
      </c>
      <c r="C227" s="250" t="s">
        <v>773</v>
      </c>
      <c r="D227" s="253" t="s">
        <v>774</v>
      </c>
      <c r="E227" s="337"/>
      <c r="G227" s="337"/>
    </row>
    <row r="228" spans="1:14" x14ac:dyDescent="0.2">
      <c r="B228" s="249" t="s">
        <v>88</v>
      </c>
      <c r="C228" s="250" t="s">
        <v>974</v>
      </c>
      <c r="D228" s="253" t="s">
        <v>975</v>
      </c>
      <c r="E228" s="337"/>
      <c r="G228" s="337"/>
    </row>
    <row r="229" spans="1:14" x14ac:dyDescent="0.2">
      <c r="B229" s="249" t="s">
        <v>88</v>
      </c>
      <c r="C229" s="335" t="s">
        <v>291</v>
      </c>
      <c r="D229" s="253" t="s">
        <v>52</v>
      </c>
      <c r="E229" s="337"/>
      <c r="G229" s="337"/>
    </row>
    <row r="230" spans="1:14" x14ac:dyDescent="0.2">
      <c r="B230" s="249" t="s">
        <v>88</v>
      </c>
      <c r="C230" s="335" t="s">
        <v>292</v>
      </c>
      <c r="D230" s="253" t="s">
        <v>161</v>
      </c>
      <c r="E230" s="337"/>
      <c r="G230" s="337"/>
    </row>
    <row r="231" spans="1:14" x14ac:dyDescent="0.2">
      <c r="B231" s="249" t="s">
        <v>88</v>
      </c>
      <c r="C231" s="250" t="s">
        <v>675</v>
      </c>
      <c r="D231" s="253" t="s">
        <v>676</v>
      </c>
      <c r="E231" s="337"/>
      <c r="G231" s="337"/>
    </row>
    <row r="232" spans="1:14" x14ac:dyDescent="0.2">
      <c r="B232" s="249" t="s">
        <v>88</v>
      </c>
      <c r="C232" s="250" t="s">
        <v>909</v>
      </c>
      <c r="D232" s="253" t="s">
        <v>910</v>
      </c>
      <c r="E232" s="337"/>
      <c r="G232" s="337"/>
    </row>
    <row r="233" spans="1:14" x14ac:dyDescent="0.2">
      <c r="B233" s="249" t="s">
        <v>88</v>
      </c>
      <c r="C233" s="250" t="s">
        <v>924</v>
      </c>
      <c r="D233" s="339" t="s">
        <v>925</v>
      </c>
      <c r="E233" s="337"/>
      <c r="G233" s="337"/>
    </row>
    <row r="234" spans="1:14" x14ac:dyDescent="0.2">
      <c r="B234" s="249" t="s">
        <v>88</v>
      </c>
      <c r="C234" s="250" t="s">
        <v>965</v>
      </c>
      <c r="D234" s="339" t="s">
        <v>966</v>
      </c>
      <c r="E234" s="337"/>
      <c r="G234" s="337"/>
    </row>
    <row r="235" spans="1:14" x14ac:dyDescent="0.2">
      <c r="B235" s="249" t="s">
        <v>88</v>
      </c>
      <c r="C235" s="250" t="s">
        <v>969</v>
      </c>
      <c r="D235" s="339" t="s">
        <v>970</v>
      </c>
      <c r="E235" s="337"/>
      <c r="G235" s="337"/>
    </row>
    <row r="236" spans="1:14" x14ac:dyDescent="0.2">
      <c r="B236" s="249" t="s">
        <v>88</v>
      </c>
      <c r="C236" s="250" t="s">
        <v>628</v>
      </c>
      <c r="D236" s="339" t="s">
        <v>644</v>
      </c>
      <c r="E236" s="337"/>
      <c r="G236" s="337"/>
    </row>
    <row r="237" spans="1:14" x14ac:dyDescent="0.2">
      <c r="C237" s="250"/>
      <c r="D237" s="339"/>
      <c r="E237" s="337"/>
      <c r="G237" s="337"/>
    </row>
    <row r="238" spans="1:14" x14ac:dyDescent="0.2">
      <c r="A238" s="266" t="s">
        <v>74</v>
      </c>
      <c r="B238" s="249" t="s">
        <v>88</v>
      </c>
      <c r="C238" s="250" t="s">
        <v>1014</v>
      </c>
      <c r="D238" s="339" t="s">
        <v>1009</v>
      </c>
      <c r="E238" s="323">
        <f>E239/12</f>
        <v>7672.1381076166663</v>
      </c>
      <c r="F238" s="323">
        <f>F239/12</f>
        <v>9129.701676466666</v>
      </c>
      <c r="G238" s="323">
        <f>G239/12</f>
        <v>10587.265245316668</v>
      </c>
      <c r="H238" s="253" t="s">
        <v>10</v>
      </c>
      <c r="K238" s="269" t="s">
        <v>460</v>
      </c>
      <c r="L238" s="270">
        <f>(F238-E238)/E238</f>
        <v>0.18998140393262403</v>
      </c>
      <c r="M238" s="270">
        <f>(G238-F238)/F238</f>
        <v>0.15965073345245404</v>
      </c>
    </row>
    <row r="239" spans="1:14" x14ac:dyDescent="0.2">
      <c r="B239" s="249" t="s">
        <v>88</v>
      </c>
      <c r="C239" s="249" t="s">
        <v>815</v>
      </c>
      <c r="D239" s="253" t="s">
        <v>816</v>
      </c>
      <c r="E239" s="336">
        <f>90437.7773*$K$2</f>
        <v>92065.657291399999</v>
      </c>
      <c r="F239" s="257">
        <f>107619.2732*$K$2</f>
        <v>109556.42011759999</v>
      </c>
      <c r="G239" s="336">
        <f>124800.7691*$K$2</f>
        <v>127047.18294380001</v>
      </c>
      <c r="H239" s="253" t="s">
        <v>529</v>
      </c>
      <c r="K239" s="269" t="s">
        <v>461</v>
      </c>
      <c r="L239" s="270">
        <f>(G238-E238)/E238</f>
        <v>0.37996280786524844</v>
      </c>
    </row>
    <row r="240" spans="1:14" x14ac:dyDescent="0.2">
      <c r="B240" s="249" t="s">
        <v>88</v>
      </c>
      <c r="C240" s="250" t="s">
        <v>293</v>
      </c>
      <c r="D240" s="339" t="s">
        <v>973</v>
      </c>
      <c r="E240" s="252">
        <f>E239/2080</f>
        <v>44.262335236250003</v>
      </c>
      <c r="F240" s="252">
        <f>F239/2080</f>
        <v>52.671355825769226</v>
      </c>
      <c r="G240" s="252">
        <f>G239/2080</f>
        <v>61.08037641528847</v>
      </c>
      <c r="H240" s="253" t="s">
        <v>11</v>
      </c>
      <c r="K240" s="269" t="s">
        <v>462</v>
      </c>
      <c r="L240" s="270">
        <f>(E252-E238)/E238</f>
        <v>5.08531549237888E-2</v>
      </c>
      <c r="M240" s="270">
        <f>(F252-F238)/F238</f>
        <v>5.0826964700222597E-2</v>
      </c>
      <c r="N240" s="270">
        <f>(G252-G238)/G238</f>
        <v>5.08079857658503E-2</v>
      </c>
    </row>
    <row r="241" spans="1:14" x14ac:dyDescent="0.2">
      <c r="B241" s="249" t="s">
        <v>88</v>
      </c>
      <c r="C241" s="250" t="s">
        <v>1015</v>
      </c>
      <c r="D241" s="339" t="s">
        <v>981</v>
      </c>
      <c r="E241" s="252"/>
      <c r="F241" s="252"/>
      <c r="G241" s="252"/>
      <c r="K241" s="269"/>
      <c r="L241" s="270"/>
      <c r="M241" s="270"/>
      <c r="N241" s="270"/>
    </row>
    <row r="242" spans="1:14" x14ac:dyDescent="0.2">
      <c r="B242" s="249" t="s">
        <v>88</v>
      </c>
      <c r="C242" s="250" t="s">
        <v>423</v>
      </c>
      <c r="D242" s="253" t="s">
        <v>424</v>
      </c>
      <c r="E242" s="337"/>
      <c r="K242" s="269"/>
      <c r="L242" s="270"/>
      <c r="M242" s="270"/>
      <c r="N242" s="270"/>
    </row>
    <row r="243" spans="1:14" x14ac:dyDescent="0.2">
      <c r="B243" s="249" t="s">
        <v>88</v>
      </c>
      <c r="C243" s="250" t="s">
        <v>504</v>
      </c>
      <c r="D243" s="253" t="s">
        <v>505</v>
      </c>
      <c r="E243" s="337"/>
      <c r="F243" s="338"/>
      <c r="G243" s="337"/>
    </row>
    <row r="244" spans="1:14" x14ac:dyDescent="0.2">
      <c r="B244" s="249" t="s">
        <v>88</v>
      </c>
      <c r="C244" s="250" t="s">
        <v>295</v>
      </c>
      <c r="D244" s="251" t="s">
        <v>506</v>
      </c>
      <c r="E244" s="337"/>
      <c r="F244" s="338"/>
      <c r="G244" s="337"/>
    </row>
    <row r="245" spans="1:14" x14ac:dyDescent="0.2">
      <c r="B245" s="249" t="s">
        <v>88</v>
      </c>
      <c r="C245" s="250" t="s">
        <v>775</v>
      </c>
      <c r="D245" s="339" t="s">
        <v>776</v>
      </c>
      <c r="E245" s="337"/>
      <c r="F245" s="338"/>
      <c r="G245" s="337"/>
    </row>
    <row r="246" spans="1:14" x14ac:dyDescent="0.2">
      <c r="B246" s="249" t="s">
        <v>88</v>
      </c>
      <c r="C246" s="250" t="s">
        <v>777</v>
      </c>
      <c r="D246" s="339" t="s">
        <v>798</v>
      </c>
      <c r="E246" s="337"/>
      <c r="G246" s="337"/>
    </row>
    <row r="247" spans="1:14" x14ac:dyDescent="0.2">
      <c r="B247" s="249" t="s">
        <v>88</v>
      </c>
      <c r="C247" s="335" t="s">
        <v>283</v>
      </c>
      <c r="D247" s="339" t="s">
        <v>49</v>
      </c>
      <c r="E247" s="337"/>
      <c r="F247" s="338"/>
      <c r="G247" s="337"/>
    </row>
    <row r="248" spans="1:14" x14ac:dyDescent="0.2">
      <c r="B248" s="249" t="s">
        <v>88</v>
      </c>
      <c r="C248" s="335" t="s">
        <v>296</v>
      </c>
      <c r="D248" s="253" t="s">
        <v>162</v>
      </c>
      <c r="E248" s="337"/>
      <c r="G248" s="337"/>
    </row>
    <row r="249" spans="1:14" x14ac:dyDescent="0.2">
      <c r="B249" s="249" t="s">
        <v>88</v>
      </c>
      <c r="C249" s="335" t="s">
        <v>297</v>
      </c>
      <c r="D249" s="253" t="s">
        <v>164</v>
      </c>
      <c r="E249" s="337"/>
      <c r="G249" s="337"/>
    </row>
    <row r="250" spans="1:14" x14ac:dyDescent="0.2">
      <c r="B250" s="249" t="s">
        <v>88</v>
      </c>
      <c r="C250" s="335" t="s">
        <v>298</v>
      </c>
      <c r="D250" s="253" t="s">
        <v>163</v>
      </c>
      <c r="E250" s="337"/>
      <c r="G250" s="337"/>
    </row>
    <row r="251" spans="1:14" x14ac:dyDescent="0.2">
      <c r="C251" s="266"/>
      <c r="E251" s="337"/>
      <c r="G251" s="337"/>
    </row>
    <row r="252" spans="1:14" x14ac:dyDescent="0.2">
      <c r="A252" s="266" t="s">
        <v>75</v>
      </c>
      <c r="B252" s="249" t="s">
        <v>88</v>
      </c>
      <c r="C252" s="335" t="s">
        <v>300</v>
      </c>
      <c r="D252" s="253" t="s">
        <v>166</v>
      </c>
      <c r="E252" s="323">
        <f>E253/12</f>
        <v>8062.2905354000004</v>
      </c>
      <c r="F252" s="323">
        <f>F253/12</f>
        <v>9593.7367013000003</v>
      </c>
      <c r="G252" s="323">
        <f>G253/12</f>
        <v>11125.182867199999</v>
      </c>
      <c r="H252" s="253" t="s">
        <v>10</v>
      </c>
      <c r="K252" s="269" t="s">
        <v>460</v>
      </c>
      <c r="L252" s="270">
        <f>(F252-E252)/E252</f>
        <v>0.18995174624081185</v>
      </c>
      <c r="M252" s="270">
        <f>(G252-F252)/F252</f>
        <v>0.15962978905732114</v>
      </c>
    </row>
    <row r="253" spans="1:14" x14ac:dyDescent="0.2">
      <c r="B253" s="249" t="s">
        <v>88</v>
      </c>
      <c r="C253" s="335" t="s">
        <v>301</v>
      </c>
      <c r="D253" s="339" t="s">
        <v>167</v>
      </c>
      <c r="E253" s="336">
        <f>95036.8236*$K$2</f>
        <v>96747.486424800009</v>
      </c>
      <c r="F253" s="257">
        <f>113089.2342*$K$2</f>
        <v>115124.8404156</v>
      </c>
      <c r="G253" s="336">
        <f>131141.6448*$K$2</f>
        <v>133502.1944064</v>
      </c>
      <c r="H253" s="253" t="s">
        <v>529</v>
      </c>
      <c r="K253" s="269" t="s">
        <v>461</v>
      </c>
      <c r="L253" s="270">
        <f>(G252-E252)/E252</f>
        <v>0.37990349248162358</v>
      </c>
    </row>
    <row r="254" spans="1:14" x14ac:dyDescent="0.2">
      <c r="B254" s="249" t="s">
        <v>88</v>
      </c>
      <c r="C254" s="250" t="s">
        <v>778</v>
      </c>
      <c r="D254" s="339" t="s">
        <v>787</v>
      </c>
      <c r="E254" s="252">
        <f>E253/2080</f>
        <v>46.513214627307697</v>
      </c>
      <c r="F254" s="252">
        <f>F253/2080</f>
        <v>55.348480969038462</v>
      </c>
      <c r="G254" s="252">
        <f>G253/2080</f>
        <v>64.183747310769235</v>
      </c>
      <c r="H254" s="253" t="s">
        <v>11</v>
      </c>
      <c r="K254" s="269" t="s">
        <v>462</v>
      </c>
      <c r="L254" s="270">
        <f>(E261-E252)/E252</f>
        <v>5.0643047796475354E-2</v>
      </c>
      <c r="M254" s="270">
        <f>(F261-F252)/F252</f>
        <v>5.0868047172610481E-2</v>
      </c>
    </row>
    <row r="255" spans="1:14" x14ac:dyDescent="0.2">
      <c r="B255" s="249" t="s">
        <v>88</v>
      </c>
      <c r="C255" s="250" t="s">
        <v>779</v>
      </c>
      <c r="D255" s="253" t="s">
        <v>780</v>
      </c>
      <c r="E255" s="342"/>
      <c r="F255" s="342"/>
      <c r="G255" s="342"/>
      <c r="N255" s="270">
        <f>(G261-G252)/G252</f>
        <v>5.1031100839144125E-2</v>
      </c>
    </row>
    <row r="256" spans="1:14" x14ac:dyDescent="0.2">
      <c r="B256" s="249" t="s">
        <v>88</v>
      </c>
      <c r="C256" s="250" t="s">
        <v>800</v>
      </c>
      <c r="D256" s="253" t="s">
        <v>801</v>
      </c>
      <c r="E256" s="342"/>
      <c r="F256" s="342"/>
      <c r="G256" s="342"/>
      <c r="N256" s="270"/>
    </row>
    <row r="257" spans="1:14" x14ac:dyDescent="0.2">
      <c r="B257" s="249" t="s">
        <v>88</v>
      </c>
      <c r="C257" s="250" t="s">
        <v>548</v>
      </c>
      <c r="D257" s="251" t="s">
        <v>958</v>
      </c>
      <c r="E257" s="337"/>
      <c r="F257" s="338"/>
      <c r="G257" s="337"/>
    </row>
    <row r="258" spans="1:14" x14ac:dyDescent="0.2">
      <c r="A258" s="510"/>
      <c r="B258" s="510" t="s">
        <v>88</v>
      </c>
      <c r="C258" s="250" t="s">
        <v>1076</v>
      </c>
      <c r="D258" s="251" t="s">
        <v>1077</v>
      </c>
      <c r="E258" s="511"/>
      <c r="F258" s="338"/>
      <c r="G258" s="511"/>
    </row>
    <row r="259" spans="1:14" x14ac:dyDescent="0.2">
      <c r="B259" s="249" t="s">
        <v>88</v>
      </c>
      <c r="C259" s="250" t="s">
        <v>1016</v>
      </c>
      <c r="D259" s="251" t="s">
        <v>1011</v>
      </c>
      <c r="E259" s="337"/>
      <c r="F259" s="338"/>
      <c r="G259" s="337"/>
    </row>
    <row r="260" spans="1:14" x14ac:dyDescent="0.2">
      <c r="E260" s="337"/>
      <c r="F260" s="338"/>
      <c r="G260" s="337"/>
    </row>
    <row r="261" spans="1:14" x14ac:dyDescent="0.2">
      <c r="A261" s="266" t="s">
        <v>76</v>
      </c>
      <c r="B261" s="249" t="s">
        <v>88</v>
      </c>
      <c r="C261" s="335" t="s">
        <v>299</v>
      </c>
      <c r="D261" s="253" t="s">
        <v>168</v>
      </c>
      <c r="E261" s="323">
        <f>E262/12</f>
        <v>8470.5895003333335</v>
      </c>
      <c r="F261" s="323">
        <f>F262/12</f>
        <v>10081.751352383333</v>
      </c>
      <c r="G261" s="323">
        <f>G262/12</f>
        <v>11692.913195950001</v>
      </c>
      <c r="H261" s="253" t="s">
        <v>10</v>
      </c>
      <c r="K261" s="269" t="s">
        <v>460</v>
      </c>
      <c r="L261" s="270">
        <f>(F261-E261)/E261</f>
        <v>0.19020657912729658</v>
      </c>
      <c r="M261" s="270">
        <f>(G261-F261)/F261</f>
        <v>0.15980971829718732</v>
      </c>
    </row>
    <row r="262" spans="1:14" x14ac:dyDescent="0.2">
      <c r="B262" s="249" t="s">
        <v>88</v>
      </c>
      <c r="C262" s="250" t="s">
        <v>932</v>
      </c>
      <c r="D262" s="253" t="s">
        <v>933</v>
      </c>
      <c r="E262" s="336">
        <f>99849.778*$K$2</f>
        <v>101647.07400400001</v>
      </c>
      <c r="F262" s="257">
        <f>118841.8627*$K$2</f>
        <v>120981.0162286</v>
      </c>
      <c r="G262" s="336">
        <f>137833.9473*$K$2</f>
        <v>140314.95835140001</v>
      </c>
      <c r="H262" s="253" t="s">
        <v>529</v>
      </c>
      <c r="K262" s="269" t="s">
        <v>461</v>
      </c>
      <c r="L262" s="270">
        <f>(G261-E261)/E261</f>
        <v>0.38041315725308883</v>
      </c>
    </row>
    <row r="263" spans="1:14" x14ac:dyDescent="0.2">
      <c r="B263" s="249" t="s">
        <v>88</v>
      </c>
      <c r="C263" s="335" t="s">
        <v>303</v>
      </c>
      <c r="D263" s="251" t="s">
        <v>507</v>
      </c>
      <c r="E263" s="252">
        <f>E262/2080</f>
        <v>48.868785578846158</v>
      </c>
      <c r="F263" s="252">
        <f>F262/2080</f>
        <v>58.163950109903844</v>
      </c>
      <c r="G263" s="252">
        <f>G262/2080</f>
        <v>67.459114592019233</v>
      </c>
      <c r="H263" s="253" t="s">
        <v>11</v>
      </c>
      <c r="K263" s="269"/>
      <c r="L263" s="270"/>
    </row>
    <row r="264" spans="1:14" x14ac:dyDescent="0.2">
      <c r="B264" s="249" t="s">
        <v>88</v>
      </c>
      <c r="C264" s="250" t="s">
        <v>781</v>
      </c>
      <c r="D264" s="339" t="s">
        <v>782</v>
      </c>
      <c r="E264" s="253"/>
      <c r="F264" s="253"/>
      <c r="G264" s="253"/>
      <c r="K264" s="269"/>
      <c r="L264" s="270"/>
    </row>
    <row r="265" spans="1:14" x14ac:dyDescent="0.2">
      <c r="B265" s="249" t="s">
        <v>88</v>
      </c>
      <c r="C265" s="250" t="s">
        <v>783</v>
      </c>
      <c r="D265" s="339" t="s">
        <v>784</v>
      </c>
      <c r="E265" s="336"/>
      <c r="G265" s="336"/>
      <c r="K265" s="269"/>
      <c r="L265" s="270"/>
    </row>
    <row r="266" spans="1:14" x14ac:dyDescent="0.2">
      <c r="B266" s="249" t="s">
        <v>88</v>
      </c>
      <c r="C266" s="250" t="s">
        <v>785</v>
      </c>
      <c r="D266" s="339" t="s">
        <v>786</v>
      </c>
      <c r="E266" s="336"/>
      <c r="G266" s="336"/>
      <c r="K266" s="269"/>
      <c r="L266" s="270"/>
    </row>
    <row r="267" spans="1:14" x14ac:dyDescent="0.2">
      <c r="B267" s="249" t="s">
        <v>88</v>
      </c>
      <c r="C267" s="335" t="s">
        <v>302</v>
      </c>
      <c r="D267" s="253" t="s">
        <v>169</v>
      </c>
      <c r="E267" s="337"/>
      <c r="G267" s="337"/>
    </row>
    <row r="268" spans="1:14" x14ac:dyDescent="0.2">
      <c r="E268" s="337"/>
      <c r="G268" s="337"/>
    </row>
    <row r="269" spans="1:14" x14ac:dyDescent="0.2">
      <c r="C269" s="266"/>
      <c r="D269" s="251"/>
      <c r="E269" s="337"/>
      <c r="G269" s="337"/>
      <c r="K269" s="269"/>
      <c r="L269" s="270"/>
      <c r="M269" s="270"/>
      <c r="N269" s="270"/>
    </row>
    <row r="270" spans="1:14" x14ac:dyDescent="0.2">
      <c r="C270" s="266"/>
      <c r="D270" s="251"/>
      <c r="E270" s="337"/>
      <c r="G270" s="337"/>
      <c r="K270" s="269"/>
      <c r="L270" s="270"/>
      <c r="M270" s="270"/>
      <c r="N270" s="270"/>
    </row>
    <row r="271" spans="1:14" x14ac:dyDescent="0.2">
      <c r="A271" s="585" t="s">
        <v>952</v>
      </c>
      <c r="B271" s="585"/>
      <c r="C271" s="585"/>
      <c r="D271" s="585"/>
      <c r="E271" s="585"/>
      <c r="F271" s="585"/>
      <c r="G271" s="585"/>
      <c r="H271" s="585"/>
      <c r="K271" s="269"/>
      <c r="L271" s="270"/>
      <c r="M271" s="270"/>
      <c r="N271" s="270"/>
    </row>
    <row r="272" spans="1:14" x14ac:dyDescent="0.2">
      <c r="A272" s="249" t="s">
        <v>530</v>
      </c>
      <c r="C272" s="266"/>
      <c r="D272" s="251"/>
      <c r="E272" s="323">
        <f>E273/12</f>
        <v>1623.6199640139218</v>
      </c>
      <c r="F272" s="323">
        <f>F273/12</f>
        <v>1932.1655372464581</v>
      </c>
      <c r="G272" s="323">
        <f>G273/12</f>
        <v>2240.7111104789942</v>
      </c>
      <c r="H272" s="253" t="s">
        <v>10</v>
      </c>
      <c r="K272" s="269" t="s">
        <v>460</v>
      </c>
      <c r="L272" s="270">
        <f>(F272-E272)/E272</f>
        <v>0.19003558718861049</v>
      </c>
      <c r="M272" s="270">
        <f>(G272-F272)/F272</f>
        <v>0.15968899521530977</v>
      </c>
      <c r="N272" s="270"/>
    </row>
    <row r="273" spans="1:14" x14ac:dyDescent="0.2">
      <c r="C273" s="266"/>
      <c r="D273" s="251"/>
      <c r="E273" s="336">
        <f>18453.7218868792*1.0558</f>
        <v>19483.439568167061</v>
      </c>
      <c r="F273" s="257">
        <f>(E273+G273)/2</f>
        <v>23185.986446957497</v>
      </c>
      <c r="G273" s="336">
        <f>25467.449636056*1.0558</f>
        <v>26888.533325747929</v>
      </c>
      <c r="H273" s="253" t="s">
        <v>529</v>
      </c>
      <c r="K273" s="269" t="s">
        <v>461</v>
      </c>
      <c r="L273" s="270">
        <f>(G272-E272)/E272</f>
        <v>0.38007117437722088</v>
      </c>
      <c r="N273" s="270"/>
    </row>
    <row r="274" spans="1:14" x14ac:dyDescent="0.2">
      <c r="C274" s="266"/>
      <c r="D274" s="251"/>
      <c r="E274" s="252">
        <f>E273/2080</f>
        <v>9.3670382539264718</v>
      </c>
      <c r="F274" s="252">
        <f>F273/2080</f>
        <v>11.147108868729566</v>
      </c>
      <c r="G274" s="252">
        <f>G273/2080</f>
        <v>12.927179483532658</v>
      </c>
      <c r="H274" s="253" t="s">
        <v>11</v>
      </c>
      <c r="K274" s="269" t="s">
        <v>462</v>
      </c>
      <c r="L274" s="270">
        <f>(E276-E272)/E272</f>
        <v>5.0533807829180689E-2</v>
      </c>
      <c r="M274" s="270">
        <f>(F276-F272)/F272</f>
        <v>5.0538277511962285E-2</v>
      </c>
      <c r="N274" s="270">
        <f>(G276-G272)/G272</f>
        <v>5.0541516245488929E-2</v>
      </c>
    </row>
    <row r="275" spans="1:14" x14ac:dyDescent="0.2">
      <c r="C275" s="266"/>
      <c r="D275" s="251"/>
      <c r="E275" s="337"/>
      <c r="G275" s="337"/>
      <c r="K275" s="269"/>
      <c r="L275" s="270"/>
      <c r="M275" s="270"/>
      <c r="N275" s="270"/>
    </row>
    <row r="276" spans="1:14" x14ac:dyDescent="0.2">
      <c r="A276" s="249" t="s">
        <v>531</v>
      </c>
      <c r="C276" s="266"/>
      <c r="D276" s="251"/>
      <c r="E276" s="323">
        <f>E277/12</f>
        <v>1705.6676632630226</v>
      </c>
      <c r="F276" s="323">
        <f>F277/12</f>
        <v>2029.8138553668693</v>
      </c>
      <c r="G276" s="323">
        <f>G277/12</f>
        <v>2353.9600474707158</v>
      </c>
      <c r="H276" s="253" t="s">
        <v>10</v>
      </c>
      <c r="K276" s="269" t="s">
        <v>460</v>
      </c>
      <c r="L276" s="270">
        <f>(F276-E276)/E276</f>
        <v>0.19004065040650403</v>
      </c>
      <c r="M276" s="270">
        <f>(G276-F276)/F276</f>
        <v>0.15969257045260446</v>
      </c>
      <c r="N276" s="270"/>
    </row>
    <row r="277" spans="1:14" x14ac:dyDescent="0.2">
      <c r="C277" s="266"/>
      <c r="D277" s="251"/>
      <c r="E277" s="336">
        <f>19386.2587224439*1.0558</f>
        <v>20468.011959156272</v>
      </c>
      <c r="F277" s="257">
        <f>(E277+G277)/2</f>
        <v>24357.766264402431</v>
      </c>
      <c r="G277" s="336">
        <f>26754.6131555679*1.0558</f>
        <v>28247.52056964859</v>
      </c>
      <c r="H277" s="253" t="s">
        <v>529</v>
      </c>
      <c r="K277" s="269" t="s">
        <v>461</v>
      </c>
      <c r="L277" s="270">
        <f>(G276-E276)/E276</f>
        <v>0.38008130081300789</v>
      </c>
      <c r="N277" s="270"/>
    </row>
    <row r="278" spans="1:14" x14ac:dyDescent="0.2">
      <c r="C278" s="266"/>
      <c r="D278" s="251"/>
      <c r="E278" s="252">
        <f>E277/2080</f>
        <v>9.8403903649789779</v>
      </c>
      <c r="F278" s="252">
        <f>F277/2080</f>
        <v>11.710464550193477</v>
      </c>
      <c r="G278" s="252">
        <f>G277/2080</f>
        <v>13.580538735407975</v>
      </c>
      <c r="H278" s="253" t="s">
        <v>11</v>
      </c>
      <c r="K278" s="269" t="s">
        <v>462</v>
      </c>
      <c r="L278" s="270">
        <f>(E280-E276)/E276</f>
        <v>5.08130081300813E-2</v>
      </c>
      <c r="M278" s="270">
        <f>(F280-F276)/F276</f>
        <v>5.0668943922572651E-2</v>
      </c>
      <c r="N278" s="270">
        <f>(G280-G276)/G276</f>
        <v>5.0564555719194174E-2</v>
      </c>
    </row>
    <row r="279" spans="1:14" x14ac:dyDescent="0.2">
      <c r="C279" s="266"/>
      <c r="D279" s="251"/>
      <c r="E279" s="337"/>
      <c r="G279" s="337"/>
      <c r="K279" s="269"/>
      <c r="L279" s="270"/>
      <c r="M279" s="270"/>
      <c r="N279" s="270"/>
    </row>
    <row r="280" spans="1:14" x14ac:dyDescent="0.2">
      <c r="A280" s="249" t="s">
        <v>532</v>
      </c>
      <c r="C280" s="266"/>
      <c r="D280" s="251"/>
      <c r="E280" s="323">
        <f>E281/12</f>
        <v>1792.3377681036234</v>
      </c>
      <c r="F280" s="323">
        <f>F281/12</f>
        <v>2132.6623797777142</v>
      </c>
      <c r="G280" s="323">
        <f>G281/12</f>
        <v>2472.9869914518058</v>
      </c>
      <c r="H280" s="253" t="s">
        <v>10</v>
      </c>
      <c r="K280" s="269" t="s">
        <v>460</v>
      </c>
      <c r="L280" s="270">
        <f>(F280-E280)/E280</f>
        <v>0.18987749838813592</v>
      </c>
      <c r="M280" s="270">
        <f>(G280-F280)/F280</f>
        <v>0.15957735031156844</v>
      </c>
      <c r="N280" s="270"/>
    </row>
    <row r="281" spans="1:14" x14ac:dyDescent="0.2">
      <c r="C281" s="266"/>
      <c r="D281" s="251"/>
      <c r="E281" s="336">
        <f>20371.3328445193*1.0558</f>
        <v>21508.05321724348</v>
      </c>
      <c r="F281" s="257">
        <f>(E281+G281)/2</f>
        <v>25591.948557332573</v>
      </c>
      <c r="G281" s="336">
        <f>28107.4482832181*1.0558</f>
        <v>29675.84389742167</v>
      </c>
      <c r="H281" s="253" t="s">
        <v>529</v>
      </c>
      <c r="K281" s="269" t="s">
        <v>461</v>
      </c>
      <c r="L281" s="270">
        <f>(G280-E280)/E280</f>
        <v>0.37975499677627222</v>
      </c>
      <c r="N281" s="270"/>
    </row>
    <row r="282" spans="1:14" x14ac:dyDescent="0.2">
      <c r="C282" s="266"/>
      <c r="D282" s="251"/>
      <c r="E282" s="252">
        <f>E281/2080</f>
        <v>10.340410200597827</v>
      </c>
      <c r="F282" s="252">
        <f>F281/2080</f>
        <v>12.303821421794506</v>
      </c>
      <c r="G282" s="252">
        <f>G281/2080</f>
        <v>14.267232642991187</v>
      </c>
      <c r="H282" s="253" t="s">
        <v>11</v>
      </c>
      <c r="K282" s="269" t="s">
        <v>462</v>
      </c>
      <c r="L282" s="270">
        <f>(E284-E280)/E280</f>
        <v>5.093488072211521E-2</v>
      </c>
      <c r="M282" s="270">
        <f>(F284-F280)/F280</f>
        <v>5.1205635329179149E-2</v>
      </c>
      <c r="N282" s="270">
        <f>(G284-G280)/G280</f>
        <v>5.1401869158877907E-2</v>
      </c>
    </row>
    <row r="283" spans="1:14" x14ac:dyDescent="0.2">
      <c r="C283" s="266"/>
      <c r="D283" s="251"/>
      <c r="E283" s="337"/>
      <c r="G283" s="337"/>
      <c r="K283" s="269"/>
      <c r="L283" s="270"/>
      <c r="M283" s="270"/>
      <c r="N283" s="270"/>
    </row>
    <row r="284" spans="1:14" x14ac:dyDescent="0.2">
      <c r="A284" s="249" t="s">
        <v>533</v>
      </c>
      <c r="C284" s="266"/>
      <c r="D284" s="251"/>
      <c r="E284" s="323">
        <f>E285/12</f>
        <v>1883.6302785357236</v>
      </c>
      <c r="F284" s="323">
        <f>F285/12</f>
        <v>2241.8667118768712</v>
      </c>
      <c r="G284" s="323">
        <f>G285/12</f>
        <v>2600.1031452180187</v>
      </c>
      <c r="H284" s="253" t="s">
        <v>10</v>
      </c>
      <c r="K284" s="269" t="s">
        <v>460</v>
      </c>
      <c r="L284" s="270">
        <f>(F284-E284)/E284</f>
        <v>0.19018404907975339</v>
      </c>
      <c r="M284" s="270">
        <f>(G284-F284)/F284</f>
        <v>0.15979381443298873</v>
      </c>
      <c r="N284" s="270"/>
    </row>
    <row r="285" spans="1:14" x14ac:dyDescent="0.2">
      <c r="C285" s="266"/>
      <c r="D285" s="251"/>
      <c r="E285" s="336">
        <f>21408.9442531054*1.0558</f>
        <v>22603.563342428683</v>
      </c>
      <c r="F285" s="257">
        <f>(E285+G285)/2</f>
        <v>26902.400542522453</v>
      </c>
      <c r="G285" s="336">
        <f>29552.223662262*1.0558</f>
        <v>31201.237742616224</v>
      </c>
      <c r="H285" s="253" t="s">
        <v>529</v>
      </c>
      <c r="K285" s="269" t="s">
        <v>461</v>
      </c>
      <c r="L285" s="270">
        <f>(G284-E284)/E284</f>
        <v>0.38036809815950667</v>
      </c>
      <c r="N285" s="270"/>
    </row>
    <row r="286" spans="1:14" x14ac:dyDescent="0.2">
      <c r="C286" s="266"/>
      <c r="D286" s="251"/>
      <c r="E286" s="252">
        <f>E285/2080</f>
        <v>10.86709776078302</v>
      </c>
      <c r="F286" s="252">
        <f>F285/2080</f>
        <v>12.933846414674257</v>
      </c>
      <c r="G286" s="252">
        <f>G285/2080</f>
        <v>15.000595068565492</v>
      </c>
      <c r="H286" s="253" t="s">
        <v>11</v>
      </c>
      <c r="K286" s="269" t="s">
        <v>462</v>
      </c>
      <c r="L286" s="270">
        <f>(E288-E284)/E284</f>
        <v>5.0920245398769243E-2</v>
      </c>
      <c r="M286" s="270">
        <f>(F288-F284)/F284</f>
        <v>5.1030927835050255E-2</v>
      </c>
      <c r="N286" s="270">
        <f>(G288-G284)/G284</f>
        <v>5.1111111111111614E-2</v>
      </c>
    </row>
    <row r="287" spans="1:14" x14ac:dyDescent="0.2">
      <c r="C287" s="266"/>
      <c r="D287" s="251"/>
      <c r="E287" s="337"/>
      <c r="G287" s="337"/>
      <c r="K287" s="269"/>
      <c r="L287" s="270"/>
      <c r="M287" s="270"/>
      <c r="N287" s="270"/>
    </row>
    <row r="288" spans="1:14" x14ac:dyDescent="0.2">
      <c r="A288" s="249" t="s">
        <v>534</v>
      </c>
      <c r="C288" s="266"/>
      <c r="D288" s="251"/>
      <c r="E288" s="323">
        <f>E289/12</f>
        <v>1979.5451945593147</v>
      </c>
      <c r="F288" s="323">
        <f>F289/12</f>
        <v>2356.2712502664613</v>
      </c>
      <c r="G288" s="323">
        <f>G289/12</f>
        <v>2732.9973059736076</v>
      </c>
      <c r="H288" s="253" t="s">
        <v>10</v>
      </c>
      <c r="K288" s="269" t="s">
        <v>460</v>
      </c>
      <c r="L288" s="270">
        <f>(F288-E288)/E288</f>
        <v>0.19030939871570504</v>
      </c>
      <c r="M288" s="270">
        <f>(G288-F288)/F288</f>
        <v>0.15988229524276709</v>
      </c>
      <c r="N288" s="270"/>
    </row>
    <row r="289" spans="1:14" x14ac:dyDescent="0.2">
      <c r="C289" s="266"/>
      <c r="D289" s="251"/>
      <c r="E289" s="336">
        <v>23754.542334711776</v>
      </c>
      <c r="F289" s="257">
        <v>28275.255003197533</v>
      </c>
      <c r="G289" s="336">
        <v>32795.967671683291</v>
      </c>
      <c r="H289" s="253" t="s">
        <v>529</v>
      </c>
      <c r="K289" s="269" t="s">
        <v>461</v>
      </c>
      <c r="L289" s="270">
        <f>(G288-E288)/E288</f>
        <v>0.38061879743140997</v>
      </c>
      <c r="N289" s="270"/>
    </row>
    <row r="290" spans="1:14" x14ac:dyDescent="0.2">
      <c r="C290" s="266"/>
      <c r="D290" s="251"/>
      <c r="E290" s="252">
        <f>E289/2080</f>
        <v>11.420453045534508</v>
      </c>
      <c r="F290" s="252">
        <f>F289/2080</f>
        <v>13.593872597691123</v>
      </c>
      <c r="G290" s="252">
        <f>G289/2080</f>
        <v>15.767292149847735</v>
      </c>
      <c r="H290" s="253" t="s">
        <v>11</v>
      </c>
      <c r="K290" s="269" t="s">
        <v>462</v>
      </c>
      <c r="L290" s="270">
        <f>(E7-E288)/E288</f>
        <v>0.17796867354125423</v>
      </c>
      <c r="M290" s="270">
        <f>(F7-F288)/F288</f>
        <v>0.17831695640701711</v>
      </c>
      <c r="N290" s="270">
        <f>(G7-G288)/G288</f>
        <v>0.17856952327017969</v>
      </c>
    </row>
    <row r="291" spans="1:14" x14ac:dyDescent="0.2">
      <c r="C291" s="266"/>
      <c r="D291" s="251"/>
      <c r="E291" s="337"/>
      <c r="G291" s="337"/>
      <c r="K291" s="269"/>
      <c r="L291" s="270"/>
      <c r="M291" s="270"/>
      <c r="N291" s="270"/>
    </row>
    <row r="292" spans="1:14" x14ac:dyDescent="0.2">
      <c r="A292" s="249" t="s">
        <v>535</v>
      </c>
      <c r="C292" s="266"/>
      <c r="D292" s="251"/>
      <c r="E292" s="323">
        <f>E293/12</f>
        <v>2535.3894669370393</v>
      </c>
      <c r="F292" s="323">
        <f>F293/12</f>
        <v>3017.8530505497151</v>
      </c>
      <c r="G292" s="323">
        <f>G293/12</f>
        <v>3500.3166341623914</v>
      </c>
      <c r="H292" s="253" t="s">
        <v>10</v>
      </c>
      <c r="K292" s="269" t="s">
        <v>460</v>
      </c>
      <c r="L292" s="270">
        <f>(F292-E292)/E292</f>
        <v>0.1902917046490423</v>
      </c>
      <c r="M292" s="270">
        <f>(G292-F292)/F292</f>
        <v>0.15986980662454503</v>
      </c>
      <c r="N292" s="270"/>
    </row>
    <row r="293" spans="1:14" x14ac:dyDescent="0.2">
      <c r="C293" s="266"/>
      <c r="D293" s="251"/>
      <c r="E293" s="336">
        <v>30424.673603244471</v>
      </c>
      <c r="F293" s="257">
        <v>36214.236606596583</v>
      </c>
      <c r="G293" s="336">
        <v>42003.799609948699</v>
      </c>
      <c r="H293" s="253" t="s">
        <v>529</v>
      </c>
      <c r="K293" s="269" t="s">
        <v>461</v>
      </c>
      <c r="L293" s="270">
        <f>(G292-E292)/E292</f>
        <v>0.38058340929808476</v>
      </c>
      <c r="N293" s="270"/>
    </row>
    <row r="294" spans="1:14" x14ac:dyDescent="0.2">
      <c r="C294" s="266"/>
      <c r="D294" s="251"/>
      <c r="E294" s="252">
        <f>E293/2080</f>
        <v>14.627246924636765</v>
      </c>
      <c r="F294" s="252">
        <f>F293/2080</f>
        <v>17.410690676248358</v>
      </c>
      <c r="G294" s="252">
        <f>G293/2080</f>
        <v>20.19413442785995</v>
      </c>
      <c r="H294" s="253" t="s">
        <v>11</v>
      </c>
      <c r="K294" s="269" t="s">
        <v>462</v>
      </c>
      <c r="L294" s="270">
        <f>(E296-E292)/E292</f>
        <v>5.1504102096619132E-2</v>
      </c>
      <c r="M294" s="270">
        <f>(F296-F292)/F292</f>
        <v>5.1120045950600046E-2</v>
      </c>
      <c r="N294" s="270">
        <f>(G296-G292)/G292</f>
        <v>5.084186200066057E-2</v>
      </c>
    </row>
    <row r="295" spans="1:14" x14ac:dyDescent="0.2">
      <c r="E295" s="337"/>
      <c r="G295" s="337"/>
    </row>
    <row r="296" spans="1:14" x14ac:dyDescent="0.2">
      <c r="A296" s="266" t="s">
        <v>519</v>
      </c>
      <c r="C296" s="335"/>
      <c r="D296" s="348"/>
      <c r="E296" s="323">
        <f>E297/12</f>
        <v>2665.9724248968573</v>
      </c>
      <c r="F296" s="323">
        <f>F297/12</f>
        <v>3172.1258371659751</v>
      </c>
      <c r="G296" s="323">
        <f>G297/12</f>
        <v>3678.2792494350924</v>
      </c>
      <c r="H296" s="253" t="s">
        <v>10</v>
      </c>
      <c r="K296" s="269" t="s">
        <v>460</v>
      </c>
      <c r="L296" s="270">
        <f>(F296-E296)/E296</f>
        <v>0.18985695708713121</v>
      </c>
      <c r="M296" s="270">
        <f>(G296-F296)/F296</f>
        <v>0.15956284153005809</v>
      </c>
    </row>
    <row r="297" spans="1:14" x14ac:dyDescent="0.2">
      <c r="C297" s="335"/>
      <c r="E297" s="336">
        <v>31991.669098762286</v>
      </c>
      <c r="F297" s="257">
        <v>38065.510045991701</v>
      </c>
      <c r="G297" s="336">
        <v>44139.350993221109</v>
      </c>
      <c r="H297" s="253" t="s">
        <v>529</v>
      </c>
      <c r="K297" s="269" t="s">
        <v>461</v>
      </c>
      <c r="L297" s="270">
        <f>(G296-E296)/E296</f>
        <v>0.37971391417426226</v>
      </c>
    </row>
    <row r="298" spans="1:14" x14ac:dyDescent="0.2">
      <c r="C298" s="266"/>
      <c r="E298" s="252">
        <f>E297/2080</f>
        <v>15.380610143635714</v>
      </c>
      <c r="F298" s="252">
        <f>F297/2080</f>
        <v>18.300725983649855</v>
      </c>
      <c r="G298" s="252">
        <f>G297/2080</f>
        <v>21.220841823663996</v>
      </c>
      <c r="H298" s="253" t="s">
        <v>11</v>
      </c>
      <c r="K298" s="269" t="s">
        <v>462</v>
      </c>
      <c r="L298" s="270">
        <f>(E23-E296)/E296</f>
        <v>0.17805579865347171</v>
      </c>
      <c r="M298" s="270">
        <f>(F23-F296)/F296</f>
        <v>0.17845477343665864</v>
      </c>
      <c r="N298" s="270">
        <f>(G23-G296)/G296</f>
        <v>0.17874394554624468</v>
      </c>
    </row>
    <row r="299" spans="1:14" x14ac:dyDescent="0.2">
      <c r="C299" s="266"/>
      <c r="D299" s="251"/>
      <c r="E299" s="337"/>
      <c r="G299" s="337"/>
      <c r="K299" s="269"/>
      <c r="L299" s="270"/>
      <c r="M299" s="270"/>
      <c r="N299" s="270"/>
    </row>
    <row r="300" spans="1:14" x14ac:dyDescent="0.2">
      <c r="A300" s="249" t="s">
        <v>536</v>
      </c>
      <c r="C300" s="266"/>
      <c r="D300" s="251"/>
      <c r="E300" s="323">
        <f>E301/12</f>
        <v>3093.5449421105095</v>
      </c>
      <c r="F300" s="323">
        <f>F301/12</f>
        <v>3681.1682529297809</v>
      </c>
      <c r="G300" s="323">
        <f>G301/12</f>
        <v>4268.7915637490523</v>
      </c>
      <c r="H300" s="253" t="s">
        <v>10</v>
      </c>
      <c r="K300" s="269" t="s">
        <v>460</v>
      </c>
      <c r="L300" s="270">
        <f>(F300-E300)/E300</f>
        <v>0.18995143817706334</v>
      </c>
      <c r="M300" s="270">
        <f>(G300-F300)/F300</f>
        <v>0.15962957149584014</v>
      </c>
      <c r="N300" s="270"/>
    </row>
    <row r="301" spans="1:14" x14ac:dyDescent="0.2">
      <c r="C301" s="266"/>
      <c r="D301" s="251"/>
      <c r="E301" s="336">
        <v>37122.539305326114</v>
      </c>
      <c r="F301" s="257">
        <v>44174.019035157369</v>
      </c>
      <c r="G301" s="336">
        <v>51225.498764988624</v>
      </c>
      <c r="H301" s="253" t="s">
        <v>529</v>
      </c>
      <c r="K301" s="269" t="s">
        <v>461</v>
      </c>
      <c r="L301" s="270">
        <f>(G300-E300)/E300</f>
        <v>0.37990287635412667</v>
      </c>
      <c r="N301" s="270"/>
    </row>
    <row r="302" spans="1:14" x14ac:dyDescent="0.2">
      <c r="C302" s="266"/>
      <c r="D302" s="251"/>
      <c r="E302" s="252">
        <f>E301/2080</f>
        <v>17.847374666022169</v>
      </c>
      <c r="F302" s="252">
        <f>F301/2080</f>
        <v>21.237509151517965</v>
      </c>
      <c r="G302" s="252">
        <f>G301/2080</f>
        <v>24.627643637013762</v>
      </c>
      <c r="H302" s="253" t="s">
        <v>11</v>
      </c>
      <c r="K302" s="269" t="s">
        <v>462</v>
      </c>
      <c r="L302" s="270">
        <f>(E31-E300)/E300</f>
        <v>0.17822137829684126</v>
      </c>
      <c r="M302" s="270">
        <f>(F31-F300)/F300</f>
        <v>0.17852310123663934</v>
      </c>
      <c r="N302" s="270">
        <f>(G31-G300)/G300</f>
        <v>0.17874175842421203</v>
      </c>
    </row>
    <row r="303" spans="1:14" x14ac:dyDescent="0.2">
      <c r="D303" s="253" t="s">
        <v>956</v>
      </c>
      <c r="E303" s="337"/>
      <c r="G303" s="337"/>
    </row>
    <row r="304" spans="1:14" x14ac:dyDescent="0.2">
      <c r="A304" s="249" t="s">
        <v>73</v>
      </c>
      <c r="B304" s="249" t="s">
        <v>88</v>
      </c>
      <c r="C304" s="335" t="s">
        <v>253</v>
      </c>
      <c r="D304" s="253" t="s">
        <v>136</v>
      </c>
      <c r="E304" s="337"/>
      <c r="G304" s="337"/>
    </row>
    <row r="305" spans="1:14" x14ac:dyDescent="0.2">
      <c r="A305" s="249" t="s">
        <v>73</v>
      </c>
      <c r="B305" s="249" t="s">
        <v>88</v>
      </c>
      <c r="C305" s="335" t="s">
        <v>286</v>
      </c>
      <c r="D305" s="253" t="s">
        <v>158</v>
      </c>
      <c r="E305" s="337"/>
      <c r="F305" s="338"/>
      <c r="G305" s="337"/>
    </row>
    <row r="306" spans="1:14" x14ac:dyDescent="0.2">
      <c r="A306" s="249" t="s">
        <v>73</v>
      </c>
      <c r="B306" s="249" t="s">
        <v>88</v>
      </c>
      <c r="C306" s="250" t="s">
        <v>502</v>
      </c>
      <c r="D306" s="251" t="s">
        <v>503</v>
      </c>
      <c r="E306" s="337"/>
      <c r="G306" s="337"/>
    </row>
    <row r="307" spans="1:14" x14ac:dyDescent="0.2">
      <c r="A307" s="249" t="s">
        <v>74</v>
      </c>
      <c r="B307" s="249" t="s">
        <v>88</v>
      </c>
      <c r="C307" s="250" t="s">
        <v>294</v>
      </c>
      <c r="D307" s="253" t="s">
        <v>165</v>
      </c>
    </row>
    <row r="308" spans="1:14" x14ac:dyDescent="0.2">
      <c r="A308" s="249" t="s">
        <v>76</v>
      </c>
      <c r="B308" s="249" t="s">
        <v>88</v>
      </c>
      <c r="C308" s="249" t="s">
        <v>520</v>
      </c>
      <c r="D308" s="251" t="s">
        <v>799</v>
      </c>
      <c r="E308" s="342"/>
      <c r="F308" s="342"/>
      <c r="G308" s="342"/>
      <c r="K308" s="269"/>
      <c r="L308" s="270"/>
      <c r="M308" s="270"/>
      <c r="N308" s="270"/>
    </row>
  </sheetData>
  <customSheetViews>
    <customSheetView guid="{03674138-A9FA-46A6-AB09-A74C70852C0D}" showPageBreaks="1" printArea="1" view="pageLayout">
      <selection activeCell="C241" sqref="C241"/>
      <rowBreaks count="2" manualBreakCount="2">
        <brk id="47" max="16383" man="1"/>
        <brk id="85" max="16383" man="1"/>
      </rowBreaks>
      <pageMargins left="0.25" right="0.25" top="1.75" bottom="0.94" header="0.5" footer="0.5"/>
      <printOptions horizontalCentered="1" gridLines="1"/>
      <pageSetup scale="96" fitToHeight="20" orientation="portrait" r:id="rId1"/>
      <headerFooter alignWithMargins="0">
        <oddHeader>&amp;L&amp;"Times New Roman,Regular"Ordinance #  (pay plan adoption)
&amp;C&amp;"Times New Roman,Bold"&amp;16ATTACHMENT I
2016 CITY OF BELLEVUE PAY PLANS
&amp;14NON-AFFILIATED
GENERAL</oddHeader>
        <oddFooter>&amp;L&amp;"Times New Roman,Regular"* Position is exempt from overtime.&amp;C&amp;"Times New Roman,Bold"&amp;16&amp;A</oddFooter>
      </headerFooter>
    </customSheetView>
    <customSheetView guid="{6140C585-A678-4296-91B8-0C17DF653D09}" showPageBreaks="1" printArea="1" view="pageLayout" topLeftCell="A325">
      <selection activeCell="D193" sqref="D193"/>
      <rowBreaks count="2" manualBreakCount="2">
        <brk id="47" max="16383" man="1"/>
        <brk id="85" max="16383" man="1"/>
      </rowBreaks>
      <pageMargins left="0.25" right="0.25" top="1.75" bottom="0.94" header="0.5" footer="0.5"/>
      <printOptions horizontalCentered="1" gridLines="1"/>
      <pageSetup scale="96" fitToHeight="20" orientation="portrait" r:id="rId2"/>
      <headerFooter alignWithMargins="0">
        <oddHeader>&amp;LOrdinance #  (pay plan adoption)
&amp;C&amp;"Arial,Bold"&amp;16
2016 CITY OF BELLEVUE PAY PLANS
&amp;14NON-AFFILIATED
GENERAL</oddHeader>
        <oddFooter xml:space="preserve">&amp;L* Position is exempt from overtime.&amp;C&amp;"Arial,Bold"&amp;16&amp;A&amp;REffective 01/01/16
System Update 01/xx/16
</oddFooter>
      </headerFooter>
    </customSheetView>
    <customSheetView guid="{49073133-97C6-4E81-BEFE-D9E658C173F7}" showPageBreaks="1" printArea="1" view="pageLayout" topLeftCell="A187">
      <selection activeCell="D192" sqref="D192"/>
      <rowBreaks count="2" manualBreakCount="2">
        <brk id="47" max="16383" man="1"/>
        <brk id="85" max="16383" man="1"/>
      </rowBreaks>
      <pageMargins left="0.25" right="0.25" top="1.75" bottom="0.94" header="0.5" footer="0.5"/>
      <printOptions horizontalCentered="1" gridLines="1"/>
      <pageSetup scale="96" fitToHeight="20" orientation="portrait" r:id="rId3"/>
      <headerFooter alignWithMargins="0">
        <oddHeader>&amp;LOrdinance #  (pay plan adoption)
&amp;C&amp;"Arial,Bold"&amp;16
2016 CITY OF BELLEVUE PAY PLANS
&amp;14NON-AFFILIATED
GENERAL</oddHeader>
        <oddFooter xml:space="preserve">&amp;L* Position is exempt from overtime.&amp;C&amp;"Arial,Bold"&amp;16&amp;A&amp;REffective 01/01/16
System Update 01/xx/16
</oddFooter>
      </headerFooter>
    </customSheetView>
  </customSheetViews>
  <mergeCells count="8">
    <mergeCell ref="A271:H271"/>
    <mergeCell ref="F1:F2"/>
    <mergeCell ref="G1:G2"/>
    <mergeCell ref="B1:B2"/>
    <mergeCell ref="A1:A2"/>
    <mergeCell ref="C1:C2"/>
    <mergeCell ref="D1:D2"/>
    <mergeCell ref="E1:E2"/>
  </mergeCells>
  <phoneticPr fontId="7" type="noConversion"/>
  <printOptions horizontalCentered="1" gridLines="1"/>
  <pageMargins left="0.25" right="0.25" top="1.75" bottom="0.94" header="0.5" footer="0.5"/>
  <pageSetup scale="96" fitToHeight="20" orientation="portrait" r:id="rId4"/>
  <headerFooter alignWithMargins="0">
    <oddHeader>&amp;LOrdinance #6333 (pay plan adoption)
&amp;C&amp;"Times New Roman,Bold"&amp;16
2017 CITY OF BELLEVUE PAY PLANS
NON-AFFILIATED
GENERAL</oddHeader>
    <oddFooter xml:space="preserve">&amp;L* Position is exempt from overtime.&amp;C&amp;"Arial,Bold"&amp;16&amp;A&amp;REffective 01/01/17
System Update 01/xx/17
</oddFooter>
  </headerFooter>
  <rowBreaks count="2" manualBreakCount="2">
    <brk id="47" max="16383" man="1"/>
    <brk id="8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view="pageLayout" zoomScaleNormal="100" workbookViewId="0">
      <selection sqref="A1:A2"/>
    </sheetView>
  </sheetViews>
  <sheetFormatPr defaultColWidth="8.85546875" defaultRowHeight="12.75" x14ac:dyDescent="0.2"/>
  <cols>
    <col min="1" max="1" width="5" style="413" customWidth="1"/>
    <col min="2" max="2" width="2.7109375" style="413" customWidth="1"/>
    <col min="3" max="3" width="7.42578125" style="413" customWidth="1"/>
    <col min="4" max="4" width="36.85546875" style="412" customWidth="1"/>
    <col min="5" max="5" width="11.28515625" style="415" bestFit="1" customWidth="1"/>
    <col min="6" max="6" width="10.7109375" style="415" customWidth="1"/>
    <col min="7" max="7" width="12.5703125" style="415" customWidth="1"/>
    <col min="8" max="10" width="10.7109375" style="415" customWidth="1"/>
    <col min="11" max="11" width="17" style="412" bestFit="1" customWidth="1"/>
    <col min="12" max="16384" width="8.85546875" style="412"/>
  </cols>
  <sheetData>
    <row r="1" spans="1:14" s="404" customFormat="1" x14ac:dyDescent="0.2">
      <c r="A1" s="588" t="s">
        <v>559</v>
      </c>
      <c r="B1" s="547"/>
      <c r="C1" s="547" t="s">
        <v>0</v>
      </c>
      <c r="D1" s="547" t="s">
        <v>1</v>
      </c>
      <c r="E1" s="550" t="s">
        <v>2</v>
      </c>
      <c r="F1" s="550"/>
      <c r="G1" s="550"/>
      <c r="H1" s="436">
        <v>2017</v>
      </c>
      <c r="I1" s="423"/>
      <c r="J1" s="423"/>
      <c r="K1" s="424" t="s">
        <v>1063</v>
      </c>
      <c r="L1" s="550" t="s">
        <v>2</v>
      </c>
      <c r="M1" s="550"/>
      <c r="N1" s="280"/>
    </row>
    <row r="2" spans="1:14" s="405" customFormat="1" x14ac:dyDescent="0.2">
      <c r="A2" s="548"/>
      <c r="B2" s="548"/>
      <c r="C2" s="548"/>
      <c r="D2" s="549"/>
      <c r="E2" s="416" t="s">
        <v>600</v>
      </c>
      <c r="F2" s="416" t="s">
        <v>599</v>
      </c>
      <c r="G2" s="416" t="s">
        <v>865</v>
      </c>
      <c r="H2" s="416"/>
      <c r="I2" s="416"/>
      <c r="J2" s="416"/>
      <c r="K2" s="508">
        <v>1.0255000000000001</v>
      </c>
      <c r="L2" s="416" t="s">
        <v>866</v>
      </c>
      <c r="M2" s="416" t="s">
        <v>867</v>
      </c>
      <c r="N2" s="283"/>
    </row>
    <row r="3" spans="1:14" s="407" customFormat="1" x14ac:dyDescent="0.2">
      <c r="A3" s="396" t="s">
        <v>77</v>
      </c>
      <c r="B3" s="396"/>
      <c r="C3" s="360" t="s">
        <v>348</v>
      </c>
      <c r="D3" s="357" t="s">
        <v>28</v>
      </c>
      <c r="E3" s="418">
        <f>6207.7031*$K$2</f>
        <v>6365.9995290500001</v>
      </c>
      <c r="F3" s="418">
        <f>6524.7621*$K$2</f>
        <v>6691.14353355</v>
      </c>
      <c r="G3" s="418">
        <f>6852.0351*$K$2</f>
        <v>7026.7619950500002</v>
      </c>
      <c r="H3" s="357" t="s">
        <v>10</v>
      </c>
      <c r="I3" s="425"/>
      <c r="J3" s="425"/>
      <c r="K3" s="425"/>
      <c r="L3" s="270">
        <f>(F3-E3)/E3</f>
        <v>5.1075090881843227E-2</v>
      </c>
      <c r="M3" s="270">
        <f>(G3-F3)/F3</f>
        <v>5.015861038059919E-2</v>
      </c>
      <c r="N3" s="357"/>
    </row>
    <row r="4" spans="1:14" s="407" customFormat="1" x14ac:dyDescent="0.2">
      <c r="A4" s="396"/>
      <c r="B4" s="396"/>
      <c r="C4" s="396"/>
      <c r="D4" s="357"/>
      <c r="E4" s="418">
        <f>E3*12</f>
        <v>76391.994348599997</v>
      </c>
      <c r="F4" s="418">
        <f>F3*12</f>
        <v>80293.722402600004</v>
      </c>
      <c r="G4" s="418">
        <f>G3*12</f>
        <v>84321.143940599999</v>
      </c>
      <c r="H4" s="357" t="s">
        <v>529</v>
      </c>
      <c r="I4" s="425"/>
      <c r="J4" s="425"/>
      <c r="K4" s="425"/>
      <c r="L4" s="270">
        <f>(G3-E3)/G3</f>
        <v>9.4035128337273122E-2</v>
      </c>
      <c r="M4" s="357"/>
      <c r="N4" s="357"/>
    </row>
    <row r="5" spans="1:14" s="407" customFormat="1" x14ac:dyDescent="0.2">
      <c r="A5" s="396"/>
      <c r="B5" s="396"/>
      <c r="C5" s="396"/>
      <c r="D5" s="357"/>
      <c r="E5" s="418">
        <f>E4/2080</f>
        <v>36.726920359903843</v>
      </c>
      <c r="F5" s="418">
        <f>F4/2080</f>
        <v>38.602751155096158</v>
      </c>
      <c r="G5" s="418">
        <f>G4/2080</f>
        <v>40.539011509903844</v>
      </c>
      <c r="H5" s="357" t="s">
        <v>11</v>
      </c>
      <c r="I5" s="425"/>
      <c r="J5" s="425"/>
      <c r="K5" s="425"/>
      <c r="L5" s="270" t="e">
        <f>(#REF!-#REF!)/#REF!</f>
        <v>#REF!</v>
      </c>
      <c r="M5" s="270" t="e">
        <f>(#REF!-#REF!)/#REF!</f>
        <v>#REF!</v>
      </c>
      <c r="N5" s="357"/>
    </row>
    <row r="6" spans="1:14" s="407" customFormat="1" ht="35.1" customHeight="1" x14ac:dyDescent="0.2">
      <c r="A6" s="396"/>
      <c r="B6" s="396"/>
      <c r="C6" s="396"/>
      <c r="D6" s="357"/>
      <c r="E6" s="418"/>
      <c r="F6" s="418"/>
      <c r="G6" s="418"/>
      <c r="H6" s="357"/>
      <c r="I6" s="426"/>
      <c r="J6" s="426"/>
      <c r="K6" s="357"/>
      <c r="L6" s="357"/>
      <c r="M6" s="357"/>
      <c r="N6" s="357"/>
    </row>
    <row r="7" spans="1:14" s="407" customFormat="1" x14ac:dyDescent="0.2">
      <c r="A7" s="396" t="s">
        <v>78</v>
      </c>
      <c r="B7" s="396"/>
      <c r="C7" s="360" t="s">
        <v>349</v>
      </c>
      <c r="D7" s="357" t="s">
        <v>29</v>
      </c>
      <c r="E7" s="418">
        <f>6825.2924*$K$2</f>
        <v>6999.3373562000006</v>
      </c>
      <c r="F7" s="418">
        <f>7172.9146*$K$2</f>
        <v>7355.823922300001</v>
      </c>
      <c r="G7" s="418">
        <f>7534.5599*$K$2</f>
        <v>7726.6911774500004</v>
      </c>
      <c r="H7" s="357" t="s">
        <v>10</v>
      </c>
      <c r="I7" s="426"/>
      <c r="J7" s="426"/>
      <c r="K7" s="358" t="s">
        <v>460</v>
      </c>
      <c r="L7" s="270" t="e">
        <f>(#REF!-#REF!)/#REF!</f>
        <v>#REF!</v>
      </c>
      <c r="M7" s="270" t="e">
        <f>(#REF!-#REF!)/#REF!</f>
        <v>#REF!</v>
      </c>
      <c r="N7" s="357"/>
    </row>
    <row r="8" spans="1:14" s="407" customFormat="1" x14ac:dyDescent="0.2">
      <c r="A8" s="396"/>
      <c r="B8" s="396" t="s">
        <v>88</v>
      </c>
      <c r="C8" s="360" t="s">
        <v>347</v>
      </c>
      <c r="D8" s="357" t="s">
        <v>91</v>
      </c>
      <c r="E8" s="418">
        <f>E7*12</f>
        <v>83992.048274400004</v>
      </c>
      <c r="F8" s="418">
        <f>F7*12</f>
        <v>88269.887067600008</v>
      </c>
      <c r="G8" s="418">
        <f>G7*12</f>
        <v>92720.294129400005</v>
      </c>
      <c r="H8" s="357" t="s">
        <v>529</v>
      </c>
      <c r="I8" s="426"/>
      <c r="J8" s="426"/>
      <c r="K8" s="358" t="s">
        <v>461</v>
      </c>
      <c r="L8" s="270" t="e">
        <f>(#REF!-#REF!)/#REF!</f>
        <v>#REF!</v>
      </c>
      <c r="M8" s="357"/>
      <c r="N8" s="357"/>
    </row>
    <row r="9" spans="1:14" s="407" customFormat="1" x14ac:dyDescent="0.2">
      <c r="A9" s="396"/>
      <c r="B9" s="396" t="s">
        <v>88</v>
      </c>
      <c r="C9" s="360" t="s">
        <v>350</v>
      </c>
      <c r="D9" s="357" t="s">
        <v>30</v>
      </c>
      <c r="E9" s="418">
        <f>E8/2080</f>
        <v>40.380792439615384</v>
      </c>
      <c r="F9" s="418">
        <f>F8/2080</f>
        <v>42.437445705576927</v>
      </c>
      <c r="G9" s="418">
        <f>G8/2080</f>
        <v>44.577064485288467</v>
      </c>
      <c r="H9" s="357" t="s">
        <v>11</v>
      </c>
      <c r="I9" s="426"/>
      <c r="J9" s="426"/>
      <c r="K9" s="358" t="s">
        <v>462</v>
      </c>
      <c r="L9" s="270" t="e">
        <f>(E17-#REF!)/#REF!</f>
        <v>#REF!</v>
      </c>
      <c r="M9" s="270" t="e">
        <f>(F17-#REF!)/#REF!</f>
        <v>#REF!</v>
      </c>
      <c r="N9" s="270"/>
    </row>
    <row r="10" spans="1:14" s="407" customFormat="1" ht="35.1" customHeight="1" x14ac:dyDescent="0.2">
      <c r="A10" s="396"/>
      <c r="B10" s="396"/>
      <c r="C10" s="396"/>
      <c r="D10" s="357"/>
      <c r="E10" s="418"/>
      <c r="F10" s="418"/>
      <c r="G10" s="418"/>
      <c r="H10" s="357"/>
      <c r="I10" s="426"/>
      <c r="J10" s="426"/>
      <c r="K10" s="357"/>
      <c r="L10" s="357"/>
      <c r="M10" s="357"/>
      <c r="N10" s="357"/>
    </row>
    <row r="11" spans="1:14" s="407" customFormat="1" x14ac:dyDescent="0.2">
      <c r="A11" s="396" t="s">
        <v>79</v>
      </c>
      <c r="B11" s="396" t="s">
        <v>88</v>
      </c>
      <c r="C11" s="360" t="s">
        <v>351</v>
      </c>
      <c r="D11" s="357" t="s">
        <v>31</v>
      </c>
      <c r="E11" s="418">
        <f>7877.092*$K$2</f>
        <v>8077.9578460000002</v>
      </c>
      <c r="F11" s="418">
        <f>8276.9412*$K$2</f>
        <v>8488.0032006000001</v>
      </c>
      <c r="G11" s="418">
        <f>8697.1397*$K$2</f>
        <v>8918.9167623499998</v>
      </c>
      <c r="H11" s="357" t="s">
        <v>10</v>
      </c>
      <c r="I11" s="426"/>
      <c r="J11" s="426"/>
      <c r="K11" s="358" t="s">
        <v>460</v>
      </c>
      <c r="L11" s="270" t="e">
        <f>(F17-E17)/E17</f>
        <v>#DIV/0!</v>
      </c>
      <c r="M11" s="270" t="e">
        <f>(G17-F17)/F17</f>
        <v>#DIV/0!</v>
      </c>
      <c r="N11" s="357"/>
    </row>
    <row r="12" spans="1:14" s="407" customFormat="1" x14ac:dyDescent="0.2">
      <c r="A12" s="396"/>
      <c r="B12" s="396"/>
      <c r="C12" s="360"/>
      <c r="D12" s="357"/>
      <c r="E12" s="418">
        <f>E11*12</f>
        <v>96935.494151999999</v>
      </c>
      <c r="F12" s="418">
        <f>F11*12</f>
        <v>101856.0384072</v>
      </c>
      <c r="G12" s="418">
        <f>G11*12</f>
        <v>107027.0011482</v>
      </c>
      <c r="H12" s="357" t="s">
        <v>529</v>
      </c>
      <c r="I12" s="426"/>
      <c r="J12" s="426"/>
      <c r="K12" s="358" t="s">
        <v>461</v>
      </c>
      <c r="L12" s="270" t="e">
        <f>(J17-E17)/E17</f>
        <v>#DIV/0!</v>
      </c>
      <c r="M12" s="357"/>
      <c r="N12" s="357"/>
    </row>
    <row r="13" spans="1:14" s="407" customFormat="1" x14ac:dyDescent="0.2">
      <c r="A13" s="396"/>
      <c r="B13" s="396"/>
      <c r="C13" s="360"/>
      <c r="D13" s="357"/>
      <c r="E13" s="418">
        <f>E12/2080</f>
        <v>46.60360295769231</v>
      </c>
      <c r="F13" s="418">
        <f>F12/2080</f>
        <v>48.969249234230773</v>
      </c>
      <c r="G13" s="418">
        <f>G12/2080</f>
        <v>51.455289013557689</v>
      </c>
      <c r="H13" s="357" t="s">
        <v>11</v>
      </c>
      <c r="I13" s="426"/>
      <c r="J13" s="426"/>
      <c r="K13" s="357"/>
      <c r="L13" s="357"/>
      <c r="M13" s="357"/>
      <c r="N13" s="357"/>
    </row>
    <row r="14" spans="1:14" s="407" customFormat="1" ht="35.1" customHeight="1" x14ac:dyDescent="0.25">
      <c r="A14" s="429"/>
      <c r="B14" s="429"/>
      <c r="C14" s="429"/>
      <c r="D14" s="429"/>
      <c r="E14" s="429"/>
      <c r="F14" s="429"/>
      <c r="G14" s="429"/>
      <c r="H14" s="429"/>
      <c r="I14" s="426"/>
      <c r="J14" s="426"/>
      <c r="K14" s="357"/>
      <c r="L14" s="357"/>
      <c r="M14" s="357"/>
      <c r="N14" s="357"/>
    </row>
    <row r="15" spans="1:14" s="407" customFormat="1" ht="18.75" x14ac:dyDescent="0.3">
      <c r="A15" s="427"/>
      <c r="B15" s="428"/>
      <c r="C15" s="428"/>
      <c r="D15" s="396"/>
      <c r="E15" s="428"/>
      <c r="F15" s="428"/>
      <c r="G15" s="428"/>
      <c r="H15" s="428"/>
      <c r="I15" s="428"/>
      <c r="J15" s="428"/>
      <c r="K15" s="357"/>
      <c r="L15" s="357"/>
      <c r="M15" s="357"/>
      <c r="N15" s="357"/>
    </row>
    <row r="16" spans="1:14" x14ac:dyDescent="0.2">
      <c r="A16" s="369"/>
      <c r="B16" s="369"/>
      <c r="C16" s="369"/>
      <c r="D16" s="296"/>
      <c r="E16" s="418"/>
      <c r="F16" s="418"/>
      <c r="G16" s="418"/>
      <c r="H16" s="418"/>
      <c r="I16" s="418"/>
      <c r="J16" s="418"/>
      <c r="K16" s="296"/>
      <c r="L16" s="296"/>
      <c r="M16" s="296"/>
      <c r="N16" s="296"/>
    </row>
    <row r="17" spans="1:14" x14ac:dyDescent="0.2">
      <c r="A17" s="369"/>
      <c r="B17" s="369"/>
      <c r="C17" s="369"/>
      <c r="D17" s="296"/>
      <c r="E17" s="507"/>
      <c r="F17" s="418"/>
      <c r="G17" s="418"/>
      <c r="H17" s="418"/>
      <c r="I17" s="418"/>
      <c r="J17" s="418"/>
      <c r="K17" s="296"/>
      <c r="L17" s="296"/>
      <c r="M17" s="296"/>
      <c r="N17" s="296"/>
    </row>
    <row r="18" spans="1:14" x14ac:dyDescent="0.2">
      <c r="E18" s="406"/>
      <c r="F18" s="406"/>
      <c r="G18" s="406"/>
      <c r="H18" s="406"/>
      <c r="I18" s="406"/>
      <c r="J18" s="406"/>
    </row>
    <row r="19" spans="1:14" x14ac:dyDescent="0.2">
      <c r="E19" s="410"/>
      <c r="F19" s="410"/>
      <c r="G19" s="410"/>
      <c r="H19" s="410"/>
      <c r="I19" s="410"/>
      <c r="J19" s="410"/>
    </row>
  </sheetData>
  <mergeCells count="6">
    <mergeCell ref="L1:M1"/>
    <mergeCell ref="A1:A2"/>
    <mergeCell ref="B1:B2"/>
    <mergeCell ref="C1:C2"/>
    <mergeCell ref="D1:D2"/>
    <mergeCell ref="E1:G1"/>
  </mergeCells>
  <printOptions horizontalCentered="1" gridLines="1"/>
  <pageMargins left="0.25" right="0.25" top="2" bottom="1" header="0.5" footer="0.5"/>
  <pageSetup scale="84" orientation="portrait" r:id="rId1"/>
  <headerFooter alignWithMargins="0">
    <oddHeader>&amp;LOrdinance #6333 (pay plan adoption)
Resolution #9043 (contract adoption)&amp;C&amp;"Times New Roman,Bold"&amp;16
2017 CITY OF BELLEVUE PAY PLANS
TEAMSTERS UNION LOCAL NO 763
INSPECTORS, REVIEWERS, AND EXAMINERS</oddHeader>
    <oddFooter>&amp;L* Position is exempt from overtime.&amp;C&amp;"Arial,Bold"&amp;16&amp;A&amp;REffective 01/01/17
System Update 01/xx/17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E10"/>
  <sheetViews>
    <sheetView view="pageLayout" zoomScaleNormal="100" workbookViewId="0">
      <selection sqref="A1:E1"/>
    </sheetView>
  </sheetViews>
  <sheetFormatPr defaultRowHeight="12.75" x14ac:dyDescent="0.2"/>
  <cols>
    <col min="1" max="1" width="9.140625" style="1"/>
    <col min="2" max="2" width="11.85546875" style="1" customWidth="1"/>
    <col min="3" max="3" width="15.140625" style="1" customWidth="1"/>
    <col min="4" max="4" width="16.140625" style="1" customWidth="1"/>
    <col min="5" max="5" width="11.85546875" style="1" customWidth="1"/>
  </cols>
  <sheetData>
    <row r="1" spans="1:5" ht="23.25" customHeight="1" thickBot="1" x14ac:dyDescent="0.25">
      <c r="A1" s="589" t="s">
        <v>902</v>
      </c>
      <c r="B1" s="590"/>
      <c r="C1" s="590"/>
      <c r="D1" s="590"/>
      <c r="E1" s="591"/>
    </row>
    <row r="2" spans="1:5" ht="39" thickBot="1" x14ac:dyDescent="0.25">
      <c r="A2" s="61" t="s">
        <v>469</v>
      </c>
      <c r="B2" s="62" t="s">
        <v>888</v>
      </c>
      <c r="C2" s="71" t="s">
        <v>903</v>
      </c>
      <c r="D2" s="63" t="s">
        <v>889</v>
      </c>
      <c r="E2" s="64" t="s">
        <v>890</v>
      </c>
    </row>
    <row r="3" spans="1:5" x14ac:dyDescent="0.2">
      <c r="A3" s="68"/>
      <c r="B3" s="68" t="s">
        <v>888</v>
      </c>
      <c r="C3" s="68">
        <v>5</v>
      </c>
      <c r="D3" s="69" t="s">
        <v>891</v>
      </c>
      <c r="E3" s="70">
        <v>0.01</v>
      </c>
    </row>
    <row r="4" spans="1:5" x14ac:dyDescent="0.2">
      <c r="A4" s="66"/>
      <c r="B4" s="65" t="s">
        <v>888</v>
      </c>
      <c r="C4" s="59" t="s">
        <v>896</v>
      </c>
      <c r="D4" s="49" t="s">
        <v>892</v>
      </c>
      <c r="E4" s="67">
        <v>0.02</v>
      </c>
    </row>
    <row r="5" spans="1:5" x14ac:dyDescent="0.2">
      <c r="A5" s="66"/>
      <c r="B5" s="65" t="s">
        <v>888</v>
      </c>
      <c r="C5" s="59" t="s">
        <v>897</v>
      </c>
      <c r="D5" s="49" t="s">
        <v>893</v>
      </c>
      <c r="E5" s="67">
        <v>0.04</v>
      </c>
    </row>
    <row r="6" spans="1:5" x14ac:dyDescent="0.2">
      <c r="A6" s="66"/>
      <c r="B6" s="65" t="s">
        <v>888</v>
      </c>
      <c r="C6" s="59" t="s">
        <v>898</v>
      </c>
      <c r="D6" s="49" t="s">
        <v>894</v>
      </c>
      <c r="E6" s="67">
        <v>0.05</v>
      </c>
    </row>
    <row r="7" spans="1:5" x14ac:dyDescent="0.2">
      <c r="A7" s="66"/>
      <c r="B7" s="65" t="s">
        <v>888</v>
      </c>
      <c r="C7" s="59" t="s">
        <v>899</v>
      </c>
      <c r="D7" s="49" t="s">
        <v>901</v>
      </c>
      <c r="E7" s="67">
        <v>0.06</v>
      </c>
    </row>
    <row r="8" spans="1:5" x14ac:dyDescent="0.2">
      <c r="A8" s="66"/>
      <c r="B8" s="65" t="s">
        <v>888</v>
      </c>
      <c r="C8" s="59" t="s">
        <v>900</v>
      </c>
      <c r="D8" s="49" t="s">
        <v>895</v>
      </c>
      <c r="E8" s="67">
        <v>7.0000000000000007E-2</v>
      </c>
    </row>
    <row r="9" spans="1:5" x14ac:dyDescent="0.2">
      <c r="A9" s="46"/>
      <c r="B9" s="60"/>
      <c r="C9" s="60"/>
      <c r="D9" s="39"/>
      <c r="E9" s="41"/>
    </row>
    <row r="10" spans="1:5" x14ac:dyDescent="0.2">
      <c r="A10" s="46"/>
      <c r="B10" s="60"/>
      <c r="C10" s="60"/>
      <c r="D10" s="39"/>
      <c r="E10" s="41"/>
    </row>
  </sheetData>
  <customSheetViews>
    <customSheetView guid="{03674138-A9FA-46A6-AB09-A74C70852C0D}" showPageBreaks="1" printArea="1" state="hidden" view="pageLayout">
      <selection sqref="A1:E1"/>
      <pageMargins left="0.75" right="0.75" top="1" bottom="1" header="0.5" footer="0.5"/>
      <pageSetup orientation="portrait" r:id="rId1"/>
      <headerFooter alignWithMargins="0">
        <oddHeader>&amp;CTeamsters Local Union No 763
Inspectors, Reviewers, and Plans Examiners</oddHeader>
      </headerFooter>
    </customSheetView>
    <customSheetView guid="{6140C585-A678-4296-91B8-0C17DF653D09}" showPageBreaks="1" printArea="1" view="pageLayout">
      <selection sqref="A1:E1"/>
      <pageMargins left="0.75" right="0.75" top="1" bottom="1" header="0.5" footer="0.5"/>
      <pageSetup orientation="portrait" r:id="rId2"/>
      <headerFooter alignWithMargins="0">
        <oddHeader>&amp;CTeamsters Local Union No 763
Inspectors, Reviewers, and Plans Examiners</oddHeader>
      </headerFooter>
    </customSheetView>
    <customSheetView guid="{49073133-97C6-4E81-BEFE-D9E658C173F7}" showPageBreaks="1" printArea="1" view="pageLayout">
      <selection sqref="A1:E1"/>
      <pageMargins left="0.75" right="0.75" top="1" bottom="1" header="0.5" footer="0.5"/>
      <pageSetup orientation="portrait" r:id="rId3"/>
      <headerFooter alignWithMargins="0">
        <oddHeader>&amp;CTeamsters Local Union No 763
Inspectors, Reviewers, and Plans Examiners</oddHeader>
      </headerFooter>
    </customSheetView>
  </customSheetViews>
  <mergeCells count="1">
    <mergeCell ref="A1:E1"/>
  </mergeCells>
  <phoneticPr fontId="7" type="noConversion"/>
  <pageMargins left="0.75" right="0.75" top="1" bottom="1" header="0.5" footer="0.5"/>
  <pageSetup orientation="portrait" r:id="rId4"/>
  <headerFooter alignWithMargins="0">
    <oddHeader>&amp;CTeamsters Union Local No 763
Inspectors, Reviewers, and Plans Examiners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view="pageLayout" zoomScale="110" zoomScaleNormal="100" zoomScalePageLayoutView="110" workbookViewId="0">
      <selection sqref="A1:A2"/>
    </sheetView>
  </sheetViews>
  <sheetFormatPr defaultColWidth="8.85546875" defaultRowHeight="12.75" x14ac:dyDescent="0.2"/>
  <cols>
    <col min="1" max="1" width="5" style="369" customWidth="1"/>
    <col min="2" max="2" width="8.28515625" style="369" customWidth="1"/>
    <col min="3" max="3" width="33.85546875" style="296" customWidth="1"/>
    <col min="4" max="9" width="10.7109375" style="367" customWidth="1"/>
    <col min="10" max="11" width="9.7109375" style="296" bestFit="1" customWidth="1"/>
    <col min="12" max="12" width="8.85546875" style="296"/>
    <col min="13" max="13" width="17" style="296" bestFit="1" customWidth="1"/>
    <col min="14" max="15" width="8.85546875" style="296"/>
    <col min="16" max="16" width="7.28515625" style="296" bestFit="1" customWidth="1"/>
    <col min="17" max="16384" width="8.85546875" style="296"/>
  </cols>
  <sheetData>
    <row r="1" spans="1:19" s="349" customFormat="1" x14ac:dyDescent="0.2">
      <c r="A1" s="545" t="s">
        <v>559</v>
      </c>
      <c r="B1" s="593" t="s">
        <v>0</v>
      </c>
      <c r="C1" s="593" t="s">
        <v>1</v>
      </c>
      <c r="D1" s="592" t="s">
        <v>2</v>
      </c>
      <c r="E1" s="592"/>
      <c r="F1" s="592"/>
      <c r="G1" s="592"/>
      <c r="H1" s="592"/>
      <c r="I1" s="592"/>
      <c r="J1" s="401">
        <v>2017</v>
      </c>
      <c r="M1" s="350">
        <v>2017</v>
      </c>
      <c r="N1" s="592" t="s">
        <v>2</v>
      </c>
      <c r="O1" s="592"/>
      <c r="P1" s="592"/>
      <c r="Q1" s="592"/>
      <c r="R1" s="592"/>
      <c r="S1" s="592"/>
    </row>
    <row r="2" spans="1:19" s="352" customFormat="1" x14ac:dyDescent="0.2">
      <c r="A2" s="546"/>
      <c r="B2" s="546"/>
      <c r="C2" s="594"/>
      <c r="D2" s="351">
        <v>1</v>
      </c>
      <c r="E2" s="351">
        <v>2</v>
      </c>
      <c r="F2" s="351">
        <v>3</v>
      </c>
      <c r="G2" s="351">
        <v>4</v>
      </c>
      <c r="H2" s="351">
        <v>5</v>
      </c>
      <c r="I2" s="351">
        <v>6</v>
      </c>
      <c r="J2" s="400"/>
      <c r="M2" s="353">
        <v>1.018</v>
      </c>
      <c r="N2" s="354" t="s">
        <v>455</v>
      </c>
      <c r="O2" s="354" t="s">
        <v>456</v>
      </c>
      <c r="P2" s="354" t="s">
        <v>457</v>
      </c>
      <c r="Q2" s="354" t="s">
        <v>458</v>
      </c>
      <c r="R2" s="354" t="s">
        <v>459</v>
      </c>
      <c r="S2" s="352">
        <v>6</v>
      </c>
    </row>
    <row r="3" spans="1:19" s="357" customFormat="1" x14ac:dyDescent="0.2">
      <c r="A3" s="355" t="s">
        <v>395</v>
      </c>
      <c r="B3" s="355" t="s">
        <v>352</v>
      </c>
      <c r="C3" s="356" t="s">
        <v>451</v>
      </c>
      <c r="D3" s="301">
        <f t="shared" ref="D3:I3" si="0">D4/12</f>
        <v>3984.5086007999994</v>
      </c>
      <c r="E3" s="301">
        <f t="shared" si="0"/>
        <v>4184.9772327999999</v>
      </c>
      <c r="F3" s="301">
        <f t="shared" si="0"/>
        <v>4391.9922834666659</v>
      </c>
      <c r="G3" s="301">
        <f t="shared" si="0"/>
        <v>4612.0137093333333</v>
      </c>
      <c r="H3" s="301">
        <f t="shared" si="0"/>
        <v>4842.7317362666663</v>
      </c>
      <c r="I3" s="301">
        <f t="shared" si="0"/>
        <v>5085.1221512000002</v>
      </c>
      <c r="J3" s="357" t="s">
        <v>10</v>
      </c>
      <c r="M3" s="358" t="s">
        <v>460</v>
      </c>
      <c r="N3" s="359">
        <f>(E3-D3)/D3</f>
        <v>5.0312008853425724E-2</v>
      </c>
      <c r="O3" s="359">
        <f>(F3-E3)/E3</f>
        <v>4.9466231033271482E-2</v>
      </c>
      <c r="P3" s="359">
        <f>(G3-F3)/F3</f>
        <v>5.0096041082522393E-2</v>
      </c>
      <c r="Q3" s="359">
        <f>(H3-G3)/G3</f>
        <v>5.0025442566753196E-2</v>
      </c>
      <c r="R3" s="359">
        <f>(I3-H3)/H3</f>
        <v>5.0052414243411357E-2</v>
      </c>
    </row>
    <row r="4" spans="1:19" s="357" customFormat="1" x14ac:dyDescent="0.2">
      <c r="A4" s="355"/>
      <c r="B4" s="355"/>
      <c r="C4" s="357" t="s">
        <v>991</v>
      </c>
      <c r="D4" s="295">
        <f t="shared" ref="D4:I4" si="1">D5*2080</f>
        <v>47814.103209599991</v>
      </c>
      <c r="E4" s="295">
        <f t="shared" si="1"/>
        <v>50219.726793599999</v>
      </c>
      <c r="F4" s="295">
        <f t="shared" si="1"/>
        <v>52703.907401599994</v>
      </c>
      <c r="G4" s="295">
        <f t="shared" si="1"/>
        <v>55344.164512000003</v>
      </c>
      <c r="H4" s="295">
        <f t="shared" si="1"/>
        <v>58112.780835199992</v>
      </c>
      <c r="I4" s="295">
        <f t="shared" si="1"/>
        <v>61021.465814399999</v>
      </c>
      <c r="J4" s="357" t="s">
        <v>529</v>
      </c>
      <c r="M4" s="358" t="s">
        <v>461</v>
      </c>
      <c r="N4" s="359">
        <f>(I3-D3)/D3</f>
        <v>0.2762231584037797</v>
      </c>
    </row>
    <row r="5" spans="1:19" s="357" customFormat="1" x14ac:dyDescent="0.2">
      <c r="A5" s="355"/>
      <c r="B5" s="355"/>
      <c r="D5" s="301">
        <f t="shared" ref="D5:I5" si="2">D17*0.7</f>
        <v>22.987549619999996</v>
      </c>
      <c r="E5" s="301">
        <f t="shared" si="2"/>
        <v>24.14409942</v>
      </c>
      <c r="F5" s="301">
        <f t="shared" si="2"/>
        <v>25.338417019999998</v>
      </c>
      <c r="G5" s="301">
        <f t="shared" si="2"/>
        <v>26.607771400000001</v>
      </c>
      <c r="H5" s="301">
        <f t="shared" si="2"/>
        <v>27.938836939999995</v>
      </c>
      <c r="I5" s="301">
        <f t="shared" si="2"/>
        <v>29.337243179999998</v>
      </c>
      <c r="J5" s="357" t="s">
        <v>11</v>
      </c>
      <c r="M5" s="358" t="s">
        <v>462</v>
      </c>
      <c r="N5" s="359">
        <f t="shared" ref="N5:S5" si="3">(D7-D3)/D3</f>
        <v>0.14285714285714296</v>
      </c>
      <c r="O5" s="359">
        <f t="shared" si="3"/>
        <v>0.14285714285714302</v>
      </c>
      <c r="P5" s="359">
        <f t="shared" si="3"/>
        <v>0.14285714285714318</v>
      </c>
      <c r="Q5" s="359">
        <f t="shared" si="3"/>
        <v>0.14285714285714288</v>
      </c>
      <c r="R5" s="359">
        <f t="shared" si="3"/>
        <v>0.14285714285714299</v>
      </c>
      <c r="S5" s="359">
        <f t="shared" si="3"/>
        <v>0.14285714285714299</v>
      </c>
    </row>
    <row r="6" spans="1:19" s="357" customFormat="1" ht="35.1" customHeight="1" x14ac:dyDescent="0.2">
      <c r="A6" s="355"/>
      <c r="B6" s="355"/>
      <c r="D6" s="295"/>
      <c r="E6" s="295"/>
      <c r="F6" s="295"/>
      <c r="G6" s="295"/>
      <c r="H6" s="295"/>
      <c r="I6" s="295"/>
    </row>
    <row r="7" spans="1:19" s="357" customFormat="1" x14ac:dyDescent="0.2">
      <c r="A7" s="355" t="s">
        <v>396</v>
      </c>
      <c r="B7" s="355" t="s">
        <v>353</v>
      </c>
      <c r="C7" s="356" t="s">
        <v>492</v>
      </c>
      <c r="D7" s="301">
        <f t="shared" ref="D7:I7" si="4">D8/12</f>
        <v>4553.7241151999997</v>
      </c>
      <c r="E7" s="301">
        <f t="shared" si="4"/>
        <v>4782.8311232000005</v>
      </c>
      <c r="F7" s="301">
        <f t="shared" si="4"/>
        <v>5019.4197525333338</v>
      </c>
      <c r="G7" s="301">
        <f t="shared" si="4"/>
        <v>5270.8728106666667</v>
      </c>
      <c r="H7" s="301">
        <f t="shared" si="4"/>
        <v>5534.5505557333336</v>
      </c>
      <c r="I7" s="301">
        <f t="shared" si="4"/>
        <v>5811.5681728000009</v>
      </c>
      <c r="J7" s="357" t="s">
        <v>10</v>
      </c>
      <c r="M7" s="358" t="s">
        <v>460</v>
      </c>
      <c r="N7" s="359">
        <f>(E7-D7)/D7</f>
        <v>5.031200885342578E-2</v>
      </c>
      <c r="O7" s="359">
        <f>(F7-E7)/E7</f>
        <v>4.9466231033271635E-2</v>
      </c>
      <c r="P7" s="359">
        <f>(G7-F7)/F7</f>
        <v>5.0096041082522115E-2</v>
      </c>
      <c r="Q7" s="359">
        <f>(H7-G7)/G7</f>
        <v>5.0025442566753293E-2</v>
      </c>
      <c r="R7" s="359">
        <f>(I7-H7)/H7</f>
        <v>5.005241424341135E-2</v>
      </c>
    </row>
    <row r="8" spans="1:19" s="357" customFormat="1" x14ac:dyDescent="0.2">
      <c r="A8" s="355"/>
      <c r="B8" s="360"/>
      <c r="C8" s="361" t="s">
        <v>992</v>
      </c>
      <c r="D8" s="295">
        <f t="shared" ref="D8:I8" si="5">D9*2080</f>
        <v>54644.689382399993</v>
      </c>
      <c r="E8" s="295">
        <f t="shared" si="5"/>
        <v>57393.97347840001</v>
      </c>
      <c r="F8" s="295">
        <f t="shared" si="5"/>
        <v>60233.03703040001</v>
      </c>
      <c r="G8" s="295">
        <f t="shared" si="5"/>
        <v>63250.473728000004</v>
      </c>
      <c r="H8" s="295">
        <f t="shared" si="5"/>
        <v>66414.606668799999</v>
      </c>
      <c r="I8" s="295">
        <f t="shared" si="5"/>
        <v>69738.818073600007</v>
      </c>
      <c r="J8" s="357" t="s">
        <v>529</v>
      </c>
      <c r="M8" s="358" t="s">
        <v>461</v>
      </c>
      <c r="N8" s="359">
        <f>(I7-D7)/D7</f>
        <v>0.2762231584037797</v>
      </c>
    </row>
    <row r="9" spans="1:19" s="357" customFormat="1" x14ac:dyDescent="0.2">
      <c r="A9" s="355"/>
      <c r="B9" s="360"/>
      <c r="D9" s="301">
        <f t="shared" ref="D9:I9" si="6">D17*0.8</f>
        <v>26.271485279999997</v>
      </c>
      <c r="E9" s="301">
        <f t="shared" si="6"/>
        <v>27.593256480000004</v>
      </c>
      <c r="F9" s="301">
        <f t="shared" si="6"/>
        <v>28.958190880000004</v>
      </c>
      <c r="G9" s="301">
        <f t="shared" si="6"/>
        <v>30.408881600000001</v>
      </c>
      <c r="H9" s="301">
        <f t="shared" si="6"/>
        <v>31.93009936</v>
      </c>
      <c r="I9" s="301">
        <f t="shared" si="6"/>
        <v>33.528277920000001</v>
      </c>
      <c r="J9" s="357" t="s">
        <v>11</v>
      </c>
      <c r="M9" s="358" t="s">
        <v>462</v>
      </c>
      <c r="N9" s="359">
        <f t="shared" ref="N9:S9" si="7">(D11-D7)/D7</f>
        <v>6.2499999999999889E-2</v>
      </c>
      <c r="O9" s="359">
        <f t="shared" si="7"/>
        <v>6.2499999999999965E-2</v>
      </c>
      <c r="P9" s="359">
        <f t="shared" si="7"/>
        <v>6.2499999999999944E-2</v>
      </c>
      <c r="Q9" s="359">
        <f t="shared" si="7"/>
        <v>6.249999999999984E-2</v>
      </c>
      <c r="R9" s="359">
        <f t="shared" si="7"/>
        <v>6.2499999999999889E-2</v>
      </c>
      <c r="S9" s="359">
        <f t="shared" si="7"/>
        <v>6.2499999999999736E-2</v>
      </c>
    </row>
    <row r="10" spans="1:19" s="357" customFormat="1" ht="35.1" customHeight="1" x14ac:dyDescent="0.2">
      <c r="A10" s="355"/>
      <c r="B10" s="360"/>
      <c r="D10" s="301"/>
      <c r="E10" s="301"/>
      <c r="F10" s="301"/>
      <c r="G10" s="301"/>
      <c r="H10" s="301"/>
      <c r="I10" s="301"/>
      <c r="M10" s="358"/>
      <c r="N10" s="359"/>
      <c r="O10" s="359"/>
      <c r="P10" s="359"/>
      <c r="Q10" s="359"/>
      <c r="R10" s="359"/>
      <c r="S10" s="359"/>
    </row>
    <row r="11" spans="1:19" s="357" customFormat="1" x14ac:dyDescent="0.2">
      <c r="A11" s="355" t="s">
        <v>397</v>
      </c>
      <c r="B11" s="355" t="s">
        <v>354</v>
      </c>
      <c r="C11" s="356" t="s">
        <v>452</v>
      </c>
      <c r="D11" s="301">
        <f t="shared" ref="D11:I11" si="8">D12/12</f>
        <v>4838.3318723999992</v>
      </c>
      <c r="E11" s="301">
        <f t="shared" si="8"/>
        <v>5081.7580684000004</v>
      </c>
      <c r="F11" s="301">
        <f t="shared" si="8"/>
        <v>5333.1334870666669</v>
      </c>
      <c r="G11" s="301">
        <f t="shared" si="8"/>
        <v>5600.3023613333326</v>
      </c>
      <c r="H11" s="301">
        <f t="shared" si="8"/>
        <v>5880.4599654666663</v>
      </c>
      <c r="I11" s="301">
        <f t="shared" si="8"/>
        <v>6174.7911835999994</v>
      </c>
      <c r="J11" s="357" t="s">
        <v>10</v>
      </c>
      <c r="M11" s="358" t="s">
        <v>460</v>
      </c>
      <c r="N11" s="359">
        <f>(E11-D11)/D11</f>
        <v>5.0312008853425856E-2</v>
      </c>
      <c r="O11" s="359">
        <f>(F11-E11)/E11</f>
        <v>4.9466231033271614E-2</v>
      </c>
      <c r="P11" s="359">
        <f>(G11-F11)/F11</f>
        <v>5.0096041082522011E-2</v>
      </c>
      <c r="Q11" s="359">
        <f>(H11-G11)/G11</f>
        <v>5.0025442566753342E-2</v>
      </c>
      <c r="R11" s="359">
        <f>(I11-H11)/H11</f>
        <v>5.0052414243411197E-2</v>
      </c>
    </row>
    <row r="12" spans="1:19" s="357" customFormat="1" x14ac:dyDescent="0.2">
      <c r="A12" s="355"/>
      <c r="B12" s="360"/>
      <c r="C12" s="357" t="s">
        <v>993</v>
      </c>
      <c r="D12" s="295">
        <f t="shared" ref="D12:I12" si="9">D13*2080</f>
        <v>58059.982468799994</v>
      </c>
      <c r="E12" s="295">
        <f t="shared" si="9"/>
        <v>60981.096820800005</v>
      </c>
      <c r="F12" s="295">
        <f t="shared" si="9"/>
        <v>63997.601844800003</v>
      </c>
      <c r="G12" s="295">
        <f t="shared" si="9"/>
        <v>67203.628335999994</v>
      </c>
      <c r="H12" s="295">
        <f t="shared" si="9"/>
        <v>70565.519585599992</v>
      </c>
      <c r="I12" s="295">
        <f t="shared" si="9"/>
        <v>74097.494203199996</v>
      </c>
      <c r="J12" s="357" t="s">
        <v>529</v>
      </c>
      <c r="M12" s="358" t="s">
        <v>461</v>
      </c>
      <c r="N12" s="359">
        <f>(I11-D11)/D11</f>
        <v>0.27622315840377953</v>
      </c>
    </row>
    <row r="13" spans="1:19" s="357" customFormat="1" x14ac:dyDescent="0.2">
      <c r="A13" s="355"/>
      <c r="B13" s="360"/>
      <c r="D13" s="301">
        <f t="shared" ref="D13:I13" si="10">D17*0.85</f>
        <v>27.913453109999995</v>
      </c>
      <c r="E13" s="301">
        <f t="shared" si="10"/>
        <v>29.317835010000003</v>
      </c>
      <c r="F13" s="301">
        <f t="shared" si="10"/>
        <v>30.768077810000001</v>
      </c>
      <c r="G13" s="301">
        <f t="shared" si="10"/>
        <v>32.309436699999999</v>
      </c>
      <c r="H13" s="301">
        <f t="shared" si="10"/>
        <v>33.925730569999999</v>
      </c>
      <c r="I13" s="301">
        <f t="shared" si="10"/>
        <v>35.623795289999997</v>
      </c>
      <c r="J13" s="357" t="s">
        <v>11</v>
      </c>
      <c r="M13" s="358" t="s">
        <v>462</v>
      </c>
      <c r="N13" s="359">
        <f t="shared" ref="N13:S13" si="11">(D15-D11)/D11</f>
        <v>0.17647058823529418</v>
      </c>
      <c r="O13" s="359">
        <f t="shared" si="11"/>
        <v>0.17647058823529421</v>
      </c>
      <c r="P13" s="359">
        <f t="shared" si="11"/>
        <v>0.17647058823529396</v>
      </c>
      <c r="Q13" s="359">
        <f t="shared" si="11"/>
        <v>0.17647058823529435</v>
      </c>
      <c r="R13" s="359">
        <f t="shared" si="11"/>
        <v>0.17647058823529413</v>
      </c>
      <c r="S13" s="359">
        <f t="shared" si="11"/>
        <v>0.17647058823529416</v>
      </c>
    </row>
    <row r="14" spans="1:19" s="357" customFormat="1" ht="35.1" customHeight="1" x14ac:dyDescent="0.2">
      <c r="A14" s="355"/>
      <c r="B14" s="360"/>
      <c r="D14" s="301"/>
      <c r="E14" s="301"/>
      <c r="F14" s="301"/>
      <c r="G14" s="301"/>
      <c r="H14" s="301"/>
      <c r="I14" s="301"/>
      <c r="M14" s="358"/>
      <c r="N14" s="359"/>
      <c r="O14" s="359"/>
      <c r="P14" s="359"/>
      <c r="Q14" s="359"/>
      <c r="R14" s="359"/>
      <c r="S14" s="359"/>
    </row>
    <row r="15" spans="1:19" s="357" customFormat="1" x14ac:dyDescent="0.2">
      <c r="A15" s="355" t="s">
        <v>398</v>
      </c>
      <c r="B15" s="355" t="s">
        <v>355</v>
      </c>
      <c r="C15" s="356" t="s">
        <v>453</v>
      </c>
      <c r="D15" s="301">
        <f t="shared" ref="D15:I15" si="12">D16/12</f>
        <v>5692.1551439999994</v>
      </c>
      <c r="E15" s="301">
        <f t="shared" si="12"/>
        <v>5978.5389040000009</v>
      </c>
      <c r="F15" s="301">
        <f t="shared" si="12"/>
        <v>6274.2746906666662</v>
      </c>
      <c r="G15" s="301">
        <f t="shared" si="12"/>
        <v>6588.5910133333336</v>
      </c>
      <c r="H15" s="301">
        <f t="shared" si="12"/>
        <v>6918.1881946666663</v>
      </c>
      <c r="I15" s="301">
        <f t="shared" si="12"/>
        <v>7264.4602159999995</v>
      </c>
      <c r="J15" s="357" t="s">
        <v>10</v>
      </c>
      <c r="K15" s="362"/>
      <c r="M15" s="358" t="s">
        <v>460</v>
      </c>
      <c r="N15" s="359">
        <f>(E15-D15)/D15</f>
        <v>5.0312008853425863E-2</v>
      </c>
      <c r="O15" s="359">
        <f>(F15-E15)/E15</f>
        <v>4.9466231033271406E-2</v>
      </c>
      <c r="P15" s="359">
        <f>(G15-F15)/F15</f>
        <v>5.0096041082522344E-2</v>
      </c>
      <c r="Q15" s="359">
        <f>(H15-G15)/G15</f>
        <v>5.0025442566753155E-2</v>
      </c>
      <c r="R15" s="359">
        <f>(I15-H15)/H15</f>
        <v>5.0052414243411225E-2</v>
      </c>
    </row>
    <row r="16" spans="1:19" s="357" customFormat="1" x14ac:dyDescent="0.2">
      <c r="A16" s="355"/>
      <c r="B16" s="355" t="s">
        <v>356</v>
      </c>
      <c r="C16" s="356" t="s">
        <v>32</v>
      </c>
      <c r="D16" s="295">
        <f t="shared" ref="D16:I16" si="13">D17*2080</f>
        <v>68305.861727999989</v>
      </c>
      <c r="E16" s="295">
        <f t="shared" si="13"/>
        <v>71742.466848000011</v>
      </c>
      <c r="F16" s="295">
        <f t="shared" si="13"/>
        <v>75291.296287999998</v>
      </c>
      <c r="G16" s="295">
        <f t="shared" si="13"/>
        <v>79063.09216</v>
      </c>
      <c r="H16" s="295">
        <f t="shared" si="13"/>
        <v>83018.258335999999</v>
      </c>
      <c r="I16" s="295">
        <f t="shared" si="13"/>
        <v>87173.522591999994</v>
      </c>
      <c r="J16" s="357" t="s">
        <v>529</v>
      </c>
      <c r="M16" s="358" t="s">
        <v>461</v>
      </c>
      <c r="N16" s="359">
        <f>(I15-D15)/D15</f>
        <v>0.27622315840377948</v>
      </c>
    </row>
    <row r="17" spans="1:19" s="357" customFormat="1" x14ac:dyDescent="0.2">
      <c r="A17" s="355"/>
      <c r="B17" s="360"/>
      <c r="C17" s="357" t="s">
        <v>994</v>
      </c>
      <c r="D17" s="301">
        <f>32.2587*$M$2</f>
        <v>32.839356599999995</v>
      </c>
      <c r="E17" s="301">
        <f>33.8817*$M$2</f>
        <v>34.491570600000003</v>
      </c>
      <c r="F17" s="301">
        <f>35.5577*$M$2</f>
        <v>36.197738600000001</v>
      </c>
      <c r="G17" s="301">
        <f>37.339*$M$2</f>
        <v>38.011102000000001</v>
      </c>
      <c r="H17" s="301">
        <f>39.2069*$M$2</f>
        <v>39.912624199999996</v>
      </c>
      <c r="I17" s="301">
        <f>41.1693*$M$2</f>
        <v>41.910347399999999</v>
      </c>
      <c r="J17" s="357" t="s">
        <v>11</v>
      </c>
      <c r="M17" s="358" t="s">
        <v>462</v>
      </c>
      <c r="N17" s="359"/>
      <c r="O17" s="359"/>
      <c r="P17" s="359">
        <f>(F19-F15)/F15</f>
        <v>9.0000000000000316E-2</v>
      </c>
      <c r="Q17" s="359">
        <f>(G19-G15)/G15</f>
        <v>8.9999999999999955E-2</v>
      </c>
      <c r="R17" s="359">
        <f>(H19-H15)/H15</f>
        <v>9.0000000000000024E-2</v>
      </c>
      <c r="S17" s="359">
        <f>(I19-I15)/I15</f>
        <v>9.0000000000000163E-2</v>
      </c>
    </row>
    <row r="18" spans="1:19" s="357" customFormat="1" ht="35.1" customHeight="1" x14ac:dyDescent="0.2">
      <c r="A18" s="355"/>
      <c r="B18" s="360"/>
      <c r="D18" s="301"/>
      <c r="E18" s="301"/>
      <c r="F18" s="301"/>
      <c r="G18" s="301"/>
      <c r="H18" s="301"/>
      <c r="I18" s="301"/>
      <c r="J18" s="362"/>
      <c r="M18" s="358"/>
      <c r="N18" s="359"/>
      <c r="O18" s="359"/>
      <c r="P18" s="359"/>
      <c r="Q18" s="359"/>
      <c r="R18" s="359"/>
      <c r="S18" s="359"/>
    </row>
    <row r="19" spans="1:19" s="357" customFormat="1" x14ac:dyDescent="0.2">
      <c r="A19" s="355" t="s">
        <v>399</v>
      </c>
      <c r="B19" s="355" t="s">
        <v>400</v>
      </c>
      <c r="C19" s="356" t="s">
        <v>454</v>
      </c>
      <c r="D19" s="295"/>
      <c r="E19" s="295"/>
      <c r="F19" s="301">
        <f>F20/12</f>
        <v>6838.9594128266681</v>
      </c>
      <c r="G19" s="301">
        <f>G20/12</f>
        <v>7181.5642045333334</v>
      </c>
      <c r="H19" s="301">
        <f>H20/12</f>
        <v>7540.8251321866665</v>
      </c>
      <c r="I19" s="301">
        <f>I20/12</f>
        <v>7918.2616354400006</v>
      </c>
      <c r="J19" s="357" t="s">
        <v>10</v>
      </c>
      <c r="M19" s="358" t="s">
        <v>460</v>
      </c>
      <c r="N19" s="359"/>
      <c r="O19" s="359"/>
      <c r="P19" s="359">
        <f>(G19-F19)/F19</f>
        <v>5.0096041082522004E-2</v>
      </c>
      <c r="Q19" s="359">
        <f>(H19-G19)/G19</f>
        <v>5.0025442566753224E-2</v>
      </c>
      <c r="R19" s="359">
        <f>(I19-H19)/H19</f>
        <v>5.005241424341135E-2</v>
      </c>
    </row>
    <row r="20" spans="1:19" s="357" customFormat="1" x14ac:dyDescent="0.2">
      <c r="A20" s="355"/>
      <c r="B20" s="355" t="s">
        <v>401</v>
      </c>
      <c r="C20" s="356" t="s">
        <v>403</v>
      </c>
      <c r="D20" s="295"/>
      <c r="E20" s="295"/>
      <c r="F20" s="295">
        <f>F21*2080</f>
        <v>82067.512953920013</v>
      </c>
      <c r="G20" s="295">
        <f>G21*2080</f>
        <v>86178.770454400001</v>
      </c>
      <c r="H20" s="295">
        <f>H21*2080</f>
        <v>90489.901586239997</v>
      </c>
      <c r="I20" s="295">
        <f>I21*2080</f>
        <v>95019.139625280004</v>
      </c>
      <c r="J20" s="357" t="s">
        <v>529</v>
      </c>
      <c r="M20" s="358" t="s">
        <v>461</v>
      </c>
      <c r="N20" s="359">
        <f>(I19-F19)/F19</f>
        <v>0.15781673167837051</v>
      </c>
    </row>
    <row r="21" spans="1:19" s="357" customFormat="1" x14ac:dyDescent="0.2">
      <c r="A21" s="355"/>
      <c r="B21" s="360"/>
      <c r="C21" s="357" t="s">
        <v>995</v>
      </c>
      <c r="D21" s="295"/>
      <c r="E21" s="295"/>
      <c r="F21" s="301">
        <f>F17*1.09</f>
        <v>39.455535074000004</v>
      </c>
      <c r="G21" s="301">
        <f>G17*1.09</f>
        <v>41.432101180000004</v>
      </c>
      <c r="H21" s="301">
        <f>H17*1.09</f>
        <v>43.504760378</v>
      </c>
      <c r="I21" s="301">
        <f>I17*1.09</f>
        <v>45.682278666000002</v>
      </c>
      <c r="J21" s="357" t="s">
        <v>11</v>
      </c>
      <c r="M21" s="358" t="s">
        <v>462</v>
      </c>
      <c r="N21" s="359"/>
      <c r="O21" s="359"/>
      <c r="P21" s="359">
        <f>(F23-F19)/F19</f>
        <v>4.5871559633027074E-2</v>
      </c>
      <c r="Q21" s="359">
        <f>(G23-G19)/G19</f>
        <v>4.5871559633027276E-2</v>
      </c>
      <c r="R21" s="359">
        <f>(H23-H19)/H19</f>
        <v>4.5871559633027442E-2</v>
      </c>
      <c r="S21" s="359">
        <f>(I23-I19)/I19</f>
        <v>4.5871559633027449E-2</v>
      </c>
    </row>
    <row r="22" spans="1:19" s="357" customFormat="1" ht="35.1" customHeight="1" x14ac:dyDescent="0.2">
      <c r="A22" s="355"/>
      <c r="B22" s="360"/>
      <c r="D22" s="301"/>
      <c r="E22" s="301"/>
      <c r="F22" s="301"/>
      <c r="G22" s="301"/>
      <c r="H22" s="301"/>
      <c r="I22" s="301"/>
      <c r="M22" s="358"/>
      <c r="N22" s="359"/>
      <c r="O22" s="359"/>
      <c r="P22" s="359"/>
      <c r="Q22" s="359"/>
      <c r="R22" s="359"/>
      <c r="S22" s="359"/>
    </row>
    <row r="23" spans="1:19" s="357" customFormat="1" x14ac:dyDescent="0.2">
      <c r="A23" s="355" t="s">
        <v>402</v>
      </c>
      <c r="B23" s="355" t="s">
        <v>357</v>
      </c>
      <c r="C23" s="356" t="s">
        <v>518</v>
      </c>
      <c r="D23" s="295"/>
      <c r="E23" s="295"/>
      <c r="F23" s="301">
        <f>F24/12</f>
        <v>7152.6731473599984</v>
      </c>
      <c r="G23" s="301">
        <f>G24/12</f>
        <v>7510.9937551999983</v>
      </c>
      <c r="H23" s="301">
        <f>H24/12</f>
        <v>7886.7345419199992</v>
      </c>
      <c r="I23" s="301">
        <f>I24/12</f>
        <v>8281.4846462400001</v>
      </c>
      <c r="J23" s="357" t="s">
        <v>10</v>
      </c>
      <c r="M23" s="358" t="s">
        <v>460</v>
      </c>
      <c r="N23" s="359"/>
      <c r="O23" s="359"/>
      <c r="P23" s="359">
        <f>(G23-F23)/F23</f>
        <v>5.0096041082522205E-2</v>
      </c>
      <c r="Q23" s="359">
        <f>(H23-G23)/G23</f>
        <v>5.0025442566753391E-2</v>
      </c>
      <c r="R23" s="359">
        <f>(I23-H23)/H23</f>
        <v>5.0052414243411357E-2</v>
      </c>
    </row>
    <row r="24" spans="1:19" s="357" customFormat="1" x14ac:dyDescent="0.2">
      <c r="A24" s="355"/>
      <c r="B24" s="360"/>
      <c r="C24" s="363" t="s">
        <v>996</v>
      </c>
      <c r="D24" s="295"/>
      <c r="E24" s="295"/>
      <c r="F24" s="295">
        <f>F25*2080</f>
        <v>85832.077768319985</v>
      </c>
      <c r="G24" s="295">
        <f>G25*2080</f>
        <v>90131.925062399983</v>
      </c>
      <c r="H24" s="295">
        <f>H25*2080</f>
        <v>94640.81450303999</v>
      </c>
      <c r="I24" s="295">
        <f>I25*2080</f>
        <v>99377.815754879994</v>
      </c>
      <c r="J24" s="357" t="s">
        <v>529</v>
      </c>
      <c r="M24" s="358" t="s">
        <v>461</v>
      </c>
      <c r="N24" s="359">
        <f>(I23-F23)/F23</f>
        <v>0.1578167316783709</v>
      </c>
    </row>
    <row r="25" spans="1:19" s="357" customFormat="1" x14ac:dyDescent="0.2">
      <c r="A25" s="360"/>
      <c r="B25" s="360"/>
      <c r="D25" s="295"/>
      <c r="E25" s="295"/>
      <c r="F25" s="301">
        <f>F17*1.14</f>
        <v>41.265422003999994</v>
      </c>
      <c r="G25" s="301">
        <f>G17*1.14</f>
        <v>43.332656279999995</v>
      </c>
      <c r="H25" s="301">
        <f>H17*1.14</f>
        <v>45.500391587999992</v>
      </c>
      <c r="I25" s="301">
        <f>I17*1.14</f>
        <v>47.777796035999998</v>
      </c>
      <c r="J25" s="357" t="s">
        <v>11</v>
      </c>
    </row>
    <row r="26" spans="1:19" s="357" customFormat="1" ht="35.1" customHeight="1" x14ac:dyDescent="0.3">
      <c r="A26" s="364"/>
      <c r="B26" s="301"/>
      <c r="C26" s="365"/>
      <c r="D26" s="301"/>
      <c r="E26" s="301"/>
      <c r="F26" s="301"/>
      <c r="G26" s="366"/>
      <c r="H26" s="366"/>
      <c r="I26" s="366"/>
    </row>
    <row r="27" spans="1:19" x14ac:dyDescent="0.2">
      <c r="A27" s="295"/>
      <c r="B27" s="295"/>
      <c r="C27" s="295"/>
      <c r="D27" s="295"/>
      <c r="E27" s="295"/>
      <c r="F27" s="295"/>
    </row>
    <row r="28" spans="1:19" x14ac:dyDescent="0.2">
      <c r="A28" s="301"/>
      <c r="B28" s="301"/>
      <c r="C28" s="301"/>
      <c r="D28" s="301"/>
      <c r="E28" s="301"/>
      <c r="F28" s="301"/>
      <c r="G28" s="301"/>
      <c r="H28" s="301"/>
    </row>
    <row r="29" spans="1:19" x14ac:dyDescent="0.2">
      <c r="A29" s="295"/>
      <c r="B29" s="295"/>
      <c r="C29" s="295"/>
      <c r="D29" s="295"/>
      <c r="E29" s="295"/>
      <c r="F29" s="295"/>
    </row>
    <row r="30" spans="1:19" x14ac:dyDescent="0.2">
      <c r="A30" s="301"/>
      <c r="B30" s="301"/>
      <c r="C30" s="301"/>
      <c r="D30" s="301"/>
      <c r="E30" s="301"/>
      <c r="F30" s="301"/>
    </row>
    <row r="31" spans="1:19" x14ac:dyDescent="0.2">
      <c r="A31" s="295"/>
      <c r="B31" s="295"/>
      <c r="C31" s="295"/>
      <c r="D31" s="295"/>
      <c r="E31" s="295"/>
      <c r="F31" s="295"/>
      <c r="G31" s="368"/>
    </row>
    <row r="32" spans="1:19" x14ac:dyDescent="0.2">
      <c r="A32" s="301"/>
      <c r="B32" s="301"/>
      <c r="C32" s="301"/>
      <c r="D32" s="301"/>
      <c r="E32" s="301"/>
      <c r="F32" s="301"/>
    </row>
    <row r="33" spans="1:19" s="367" customFormat="1" x14ac:dyDescent="0.2">
      <c r="A33" s="301"/>
      <c r="B33" s="301"/>
      <c r="C33" s="301"/>
      <c r="D33" s="301"/>
      <c r="E33" s="301"/>
      <c r="F33" s="301"/>
      <c r="J33" s="296"/>
      <c r="K33" s="296"/>
      <c r="L33" s="296"/>
      <c r="M33" s="296"/>
      <c r="N33" s="296"/>
      <c r="O33" s="296"/>
      <c r="P33" s="296"/>
      <c r="Q33" s="296"/>
      <c r="R33" s="296"/>
      <c r="S33" s="296"/>
    </row>
    <row r="34" spans="1:19" s="367" customFormat="1" x14ac:dyDescent="0.2">
      <c r="A34" s="301"/>
      <c r="B34" s="301"/>
      <c r="C34" s="301"/>
      <c r="D34" s="301"/>
      <c r="E34" s="301"/>
      <c r="F34" s="301"/>
      <c r="J34" s="296"/>
      <c r="K34" s="296"/>
      <c r="L34" s="296"/>
      <c r="M34" s="296"/>
      <c r="N34" s="296"/>
      <c r="O34" s="296"/>
      <c r="P34" s="296"/>
      <c r="Q34" s="296"/>
      <c r="R34" s="296"/>
      <c r="S34" s="296"/>
    </row>
    <row r="35" spans="1:19" s="367" customFormat="1" x14ac:dyDescent="0.2">
      <c r="A35" s="295"/>
      <c r="B35" s="295"/>
      <c r="C35" s="295"/>
      <c r="D35" s="295"/>
      <c r="E35" s="295"/>
      <c r="F35" s="295"/>
      <c r="J35" s="296"/>
      <c r="K35" s="296"/>
      <c r="L35" s="296"/>
      <c r="M35" s="296"/>
      <c r="N35" s="296"/>
      <c r="O35" s="296"/>
      <c r="P35" s="296"/>
      <c r="Q35" s="296"/>
      <c r="R35" s="296"/>
      <c r="S35" s="296"/>
    </row>
    <row r="36" spans="1:19" s="367" customFormat="1" x14ac:dyDescent="0.2">
      <c r="A36" s="301"/>
      <c r="B36" s="301"/>
      <c r="C36" s="301"/>
      <c r="D36" s="301"/>
      <c r="E36" s="301"/>
      <c r="F36" s="301"/>
      <c r="J36" s="296"/>
      <c r="K36" s="296"/>
      <c r="L36" s="296"/>
      <c r="M36" s="296"/>
      <c r="N36" s="296"/>
      <c r="O36" s="296"/>
      <c r="P36" s="296"/>
      <c r="Q36" s="296"/>
      <c r="R36" s="296"/>
      <c r="S36" s="296"/>
    </row>
    <row r="37" spans="1:19" s="367" customFormat="1" x14ac:dyDescent="0.2">
      <c r="A37" s="301"/>
      <c r="B37" s="301"/>
      <c r="C37" s="301"/>
      <c r="D37" s="301"/>
      <c r="E37" s="301"/>
      <c r="F37" s="301"/>
      <c r="J37" s="296"/>
      <c r="K37" s="296"/>
      <c r="L37" s="296"/>
      <c r="M37" s="296"/>
      <c r="N37" s="296"/>
      <c r="O37" s="296"/>
      <c r="P37" s="296"/>
      <c r="Q37" s="296"/>
      <c r="R37" s="296"/>
      <c r="S37" s="296"/>
    </row>
    <row r="38" spans="1:19" s="367" customFormat="1" x14ac:dyDescent="0.2">
      <c r="A38" s="301"/>
      <c r="B38" s="301"/>
      <c r="C38" s="301"/>
      <c r="D38" s="301"/>
      <c r="E38" s="301"/>
      <c r="F38" s="301"/>
      <c r="J38" s="296"/>
      <c r="K38" s="296"/>
      <c r="L38" s="296"/>
      <c r="M38" s="296"/>
      <c r="N38" s="296"/>
      <c r="O38" s="296"/>
      <c r="P38" s="296"/>
      <c r="Q38" s="296"/>
      <c r="R38" s="296"/>
      <c r="S38" s="296"/>
    </row>
    <row r="39" spans="1:19" s="367" customFormat="1" x14ac:dyDescent="0.2">
      <c r="A39" s="295"/>
      <c r="B39" s="295"/>
      <c r="C39" s="295"/>
      <c r="D39" s="295"/>
      <c r="E39" s="295"/>
      <c r="F39" s="295"/>
      <c r="J39" s="296"/>
      <c r="K39" s="296"/>
      <c r="L39" s="296"/>
      <c r="M39" s="296"/>
      <c r="N39" s="296"/>
      <c r="O39" s="296"/>
      <c r="P39" s="296"/>
      <c r="Q39" s="296"/>
      <c r="R39" s="296"/>
      <c r="S39" s="296"/>
    </row>
    <row r="40" spans="1:19" s="367" customFormat="1" x14ac:dyDescent="0.2">
      <c r="A40" s="301"/>
      <c r="B40" s="301"/>
      <c r="C40" s="301"/>
      <c r="D40" s="301"/>
      <c r="E40" s="301"/>
      <c r="F40" s="301"/>
      <c r="J40" s="296"/>
      <c r="K40" s="296"/>
      <c r="L40" s="296"/>
      <c r="M40" s="296"/>
      <c r="N40" s="296"/>
      <c r="O40" s="296"/>
      <c r="P40" s="296"/>
      <c r="Q40" s="296"/>
      <c r="R40" s="296"/>
      <c r="S40" s="296"/>
    </row>
    <row r="41" spans="1:19" s="367" customFormat="1" x14ac:dyDescent="0.2">
      <c r="A41" s="301"/>
      <c r="B41" s="301"/>
      <c r="C41" s="301"/>
      <c r="D41" s="301"/>
      <c r="E41" s="301"/>
      <c r="F41" s="301"/>
      <c r="J41" s="296"/>
      <c r="K41" s="296"/>
      <c r="L41" s="296"/>
      <c r="M41" s="296"/>
      <c r="N41" s="296"/>
      <c r="O41" s="296"/>
      <c r="P41" s="296"/>
      <c r="Q41" s="296"/>
      <c r="R41" s="296"/>
      <c r="S41" s="296"/>
    </row>
    <row r="42" spans="1:19" s="367" customFormat="1" x14ac:dyDescent="0.2">
      <c r="A42" s="295"/>
      <c r="B42" s="295"/>
      <c r="C42" s="301"/>
      <c r="D42" s="301"/>
      <c r="E42" s="301"/>
      <c r="F42" s="301"/>
      <c r="J42" s="296"/>
      <c r="K42" s="296"/>
      <c r="L42" s="296"/>
      <c r="M42" s="296"/>
      <c r="N42" s="296"/>
      <c r="O42" s="296"/>
      <c r="P42" s="296"/>
      <c r="Q42" s="296"/>
      <c r="R42" s="296"/>
      <c r="S42" s="296"/>
    </row>
    <row r="43" spans="1:19" s="367" customFormat="1" x14ac:dyDescent="0.2">
      <c r="A43" s="295"/>
      <c r="B43" s="295"/>
      <c r="C43" s="295"/>
      <c r="D43" s="295"/>
      <c r="E43" s="295"/>
      <c r="F43" s="295"/>
      <c r="J43" s="296"/>
      <c r="K43" s="296"/>
      <c r="L43" s="296"/>
      <c r="M43" s="296"/>
      <c r="N43" s="296"/>
      <c r="O43" s="296"/>
      <c r="P43" s="296"/>
      <c r="Q43" s="296"/>
      <c r="R43" s="296"/>
      <c r="S43" s="296"/>
    </row>
    <row r="44" spans="1:19" s="367" customFormat="1" x14ac:dyDescent="0.2">
      <c r="A44" s="295"/>
      <c r="B44" s="295"/>
      <c r="C44" s="301"/>
      <c r="D44" s="301"/>
      <c r="E44" s="301"/>
      <c r="F44" s="301"/>
      <c r="J44" s="296"/>
      <c r="K44" s="296"/>
      <c r="L44" s="296"/>
      <c r="M44" s="296"/>
      <c r="N44" s="296"/>
      <c r="O44" s="296"/>
      <c r="P44" s="296"/>
      <c r="Q44" s="296"/>
      <c r="R44" s="296"/>
      <c r="S44" s="296"/>
    </row>
    <row r="45" spans="1:19" s="367" customFormat="1" x14ac:dyDescent="0.2">
      <c r="A45" s="301"/>
      <c r="B45" s="301"/>
      <c r="C45" s="301"/>
      <c r="D45" s="301"/>
      <c r="E45" s="301"/>
      <c r="F45" s="301"/>
      <c r="J45" s="296"/>
      <c r="K45" s="296"/>
      <c r="L45" s="296"/>
      <c r="M45" s="296"/>
      <c r="N45" s="296"/>
      <c r="O45" s="296"/>
      <c r="P45" s="296"/>
      <c r="Q45" s="296"/>
      <c r="R45" s="296"/>
      <c r="S45" s="296"/>
    </row>
    <row r="46" spans="1:19" s="367" customFormat="1" x14ac:dyDescent="0.2">
      <c r="A46" s="295"/>
      <c r="B46" s="295"/>
      <c r="C46" s="301"/>
      <c r="D46" s="301"/>
      <c r="E46" s="301"/>
      <c r="F46" s="301"/>
      <c r="J46" s="296"/>
      <c r="K46" s="296"/>
      <c r="L46" s="296"/>
      <c r="M46" s="296"/>
      <c r="N46" s="296"/>
      <c r="O46" s="296"/>
      <c r="P46" s="296"/>
      <c r="Q46" s="296"/>
      <c r="R46" s="296"/>
      <c r="S46" s="296"/>
    </row>
    <row r="47" spans="1:19" s="367" customFormat="1" x14ac:dyDescent="0.2">
      <c r="A47" s="295"/>
      <c r="B47" s="295"/>
      <c r="C47" s="295"/>
      <c r="D47" s="295"/>
      <c r="E47" s="295"/>
      <c r="F47" s="295"/>
      <c r="J47" s="296"/>
      <c r="K47" s="296"/>
      <c r="L47" s="296"/>
      <c r="M47" s="296"/>
      <c r="N47" s="296"/>
      <c r="O47" s="296"/>
      <c r="P47" s="296"/>
      <c r="Q47" s="296"/>
      <c r="R47" s="296"/>
      <c r="S47" s="296"/>
    </row>
    <row r="48" spans="1:19" s="367" customFormat="1" x14ac:dyDescent="0.2">
      <c r="A48" s="295"/>
      <c r="B48" s="295"/>
      <c r="C48" s="301"/>
      <c r="D48" s="301"/>
      <c r="E48" s="301"/>
      <c r="F48" s="301"/>
      <c r="J48" s="296"/>
      <c r="K48" s="296"/>
      <c r="L48" s="296"/>
      <c r="M48" s="296"/>
      <c r="N48" s="296"/>
      <c r="O48" s="296"/>
      <c r="P48" s="296"/>
      <c r="Q48" s="296"/>
      <c r="R48" s="296"/>
      <c r="S48" s="296"/>
    </row>
    <row r="49" spans="1:19" s="367" customFormat="1" x14ac:dyDescent="0.2">
      <c r="A49" s="366"/>
      <c r="B49" s="366"/>
      <c r="C49" s="366"/>
      <c r="D49" s="366"/>
      <c r="E49" s="366"/>
      <c r="F49" s="366"/>
      <c r="J49" s="296"/>
      <c r="K49" s="296"/>
      <c r="L49" s="296"/>
      <c r="M49" s="296"/>
      <c r="N49" s="296"/>
      <c r="O49" s="296"/>
      <c r="P49" s="296"/>
      <c r="Q49" s="296"/>
      <c r="R49" s="296"/>
      <c r="S49" s="296"/>
    </row>
  </sheetData>
  <customSheetViews>
    <customSheetView guid="{03674138-A9FA-46A6-AB09-A74C70852C0D}" showPageBreaks="1" printArea="1" view="pageLayout">
      <selection activeCell="E10" sqref="E10"/>
      <pageMargins left="0.25" right="0.25" top="2" bottom="1" header="0.5" footer="0.5"/>
      <printOptions horizontalCentered="1" gridLines="1"/>
      <pageSetup scale="83" orientation="portrait" r:id="rId1"/>
      <headerFooter alignWithMargins="0">
        <oddHeader>&amp;L&amp;"Times New Roman,Regular"Ordinance #  (budget adoption)
Resolution #8915 (contract adoption)&amp;C&amp;"Times New Roman,Bold"&amp;16
ATTACHMENT I
2016 CITY OF BELLEVUE PAY PLANS
INTERNATIONAL BROTHERHOOD OF ELECTRICAL WORKERS, LOCAL #77
SIGNALS AND ELECTRONICS</oddHeader>
        <oddFooter>&amp;C&amp;"Times New Roman,Bold"&amp;16&amp;A</oddFooter>
      </headerFooter>
    </customSheetView>
    <customSheetView guid="{6140C585-A678-4296-91B8-0C17DF653D09}" scale="110" showPageBreaks="1" printArea="1" view="pageLayout" topLeftCell="A7">
      <selection sqref="A1:A2"/>
      <pageMargins left="0.25" right="0.25" top="2" bottom="1" header="0.5" footer="0.5"/>
      <printOptions horizontalCentered="1" gridLines="1"/>
      <pageSetup scale="83" orientation="portrait" r:id="rId2"/>
      <headerFooter alignWithMargins="0">
        <oddHeader>&amp;LOrdinance #  (budget adoption)
Resolution #8915 (contract adoption)&amp;C&amp;"Arial,Bold"&amp;16
2016 CITY OF BELLEVUE PAY PLANS
&amp;14INTERNATIONAL BROTHERHOOD OF ELECTRICAL WORKERS, LOCAL #77
SIGNALS AND ELECTRONICS</oddHeader>
        <oddFooter>&amp;C&amp;"Arial,Bold"&amp;16&amp;A&amp;REffective 01/01/16
System Update 01/xx/16</oddFooter>
      </headerFooter>
    </customSheetView>
    <customSheetView guid="{49073133-97C6-4E81-BEFE-D9E658C173F7}" scale="110" showPageBreaks="1" printArea="1" view="pageLayout">
      <selection sqref="A1:A2"/>
      <pageMargins left="0.25" right="0.25" top="2" bottom="1" header="0.5" footer="0.5"/>
      <printOptions horizontalCentered="1" gridLines="1"/>
      <pageSetup scale="83" orientation="portrait" r:id="rId3"/>
      <headerFooter alignWithMargins="0">
        <oddHeader>&amp;LOrdinance #  (budget adoption)
Resolution #8915 (contract adoption)&amp;C&amp;"Arial,Bold"&amp;16
2016 CITY OF BELLEVUE PAY PLANS
&amp;14INTERNATIONAL BROTHERHOOD OF ELECTRICAL WORKERS, LOCAL #77
SIGNALS AND ELECTRONICS</oddHeader>
        <oddFooter>&amp;C&amp;"Arial,Bold"&amp;16&amp;A&amp;REffective 01/01/16
System Update 01/xx/16</oddFooter>
      </headerFooter>
    </customSheetView>
  </customSheetViews>
  <mergeCells count="5">
    <mergeCell ref="N1:S1"/>
    <mergeCell ref="A1:A2"/>
    <mergeCell ref="B1:B2"/>
    <mergeCell ref="C1:C2"/>
    <mergeCell ref="D1:I1"/>
  </mergeCells>
  <printOptions horizontalCentered="1" gridLines="1"/>
  <pageMargins left="0.25" right="0.25" top="2" bottom="1" header="0.5" footer="0.5"/>
  <pageSetup scale="83" orientation="portrait" r:id="rId4"/>
  <headerFooter alignWithMargins="0">
    <oddHeader>&amp;LOrdinance #6333 (pay plan adoption)
Resolution #8915 (contract adoption)&amp;C&amp;"Times New Roman,Bold"&amp;16
2017 CITY OF BELLEVUE PAY PLANS
&amp;14INTERNATIONAL BROTHERHOOD OF ELECTRICAL WORKERS, LOCAL #77
SIGNALS AND ELECTRONICS</oddHeader>
    <oddFooter>&amp;C&amp;"Arial,Bold"&amp;16&amp;A&amp;REffective 01/01/17
System Update 01/xx/17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19"/>
  <sheetViews>
    <sheetView view="pageLayout" zoomScaleNormal="100" workbookViewId="0">
      <selection sqref="A1:A2"/>
    </sheetView>
  </sheetViews>
  <sheetFormatPr defaultColWidth="9.140625" defaultRowHeight="12.75" x14ac:dyDescent="0.2"/>
  <cols>
    <col min="1" max="1" width="7.7109375" style="273" customWidth="1"/>
    <col min="2" max="2" width="2.7109375" style="273" customWidth="1"/>
    <col min="3" max="3" width="8.28515625" style="273" customWidth="1"/>
    <col min="4" max="4" width="40.7109375" style="246" customWidth="1"/>
    <col min="5" max="5" width="12.85546875" style="274" customWidth="1"/>
    <col min="6" max="6" width="12.7109375" style="246" customWidth="1"/>
    <col min="7" max="7" width="10.7109375" style="246" customWidth="1"/>
    <col min="8" max="9" width="9.140625" style="246"/>
    <col min="10" max="10" width="17" style="246" bestFit="1" customWidth="1"/>
    <col min="11" max="16384" width="9.140625" style="246"/>
  </cols>
  <sheetData>
    <row r="1" spans="1:12" s="261" customFormat="1" x14ac:dyDescent="0.2">
      <c r="A1" s="563" t="s">
        <v>559</v>
      </c>
      <c r="B1" s="565"/>
      <c r="C1" s="565" t="s">
        <v>0</v>
      </c>
      <c r="D1" s="565" t="s">
        <v>1</v>
      </c>
      <c r="E1" s="595" t="s">
        <v>2</v>
      </c>
      <c r="F1" s="595"/>
      <c r="G1" s="318">
        <v>2017</v>
      </c>
      <c r="J1" s="331">
        <v>2017</v>
      </c>
    </row>
    <row r="2" spans="1:12" s="264" customFormat="1" x14ac:dyDescent="0.2">
      <c r="A2" s="564"/>
      <c r="B2" s="564"/>
      <c r="C2" s="564"/>
      <c r="D2" s="566"/>
      <c r="E2" s="321">
        <v>1</v>
      </c>
      <c r="F2" s="370">
        <v>2</v>
      </c>
      <c r="G2" s="321"/>
      <c r="J2" s="371">
        <v>1.02</v>
      </c>
    </row>
    <row r="3" spans="1:12" x14ac:dyDescent="0.2">
      <c r="A3" s="249" t="s">
        <v>80</v>
      </c>
      <c r="B3" s="249" t="s">
        <v>88</v>
      </c>
      <c r="C3" s="266" t="s">
        <v>358</v>
      </c>
      <c r="D3" s="253" t="s">
        <v>33</v>
      </c>
      <c r="E3" s="372">
        <f>9444.6955*$J$2</f>
        <v>9633.5894100000005</v>
      </c>
      <c r="F3" s="372">
        <f>9916.9684*$J$2</f>
        <v>10115.307768000001</v>
      </c>
      <c r="G3" s="253" t="s">
        <v>10</v>
      </c>
      <c r="J3" s="312" t="s">
        <v>460</v>
      </c>
      <c r="K3" s="291">
        <f>(F3-E3)/E3</f>
        <v>5.0004036657402037E-2</v>
      </c>
    </row>
    <row r="4" spans="1:12" x14ac:dyDescent="0.2">
      <c r="A4" s="249"/>
      <c r="B4" s="249"/>
      <c r="C4" s="249"/>
      <c r="D4" s="253"/>
      <c r="E4" s="372">
        <f>E3*12</f>
        <v>115603.07292000001</v>
      </c>
      <c r="F4" s="372">
        <f>F3*12</f>
        <v>121383.69321600001</v>
      </c>
      <c r="G4" s="253" t="s">
        <v>529</v>
      </c>
      <c r="J4" s="312" t="s">
        <v>461</v>
      </c>
      <c r="K4" s="291">
        <f>(F3-E3)/E3</f>
        <v>5.0004036657402037E-2</v>
      </c>
    </row>
    <row r="5" spans="1:12" x14ac:dyDescent="0.2">
      <c r="A5" s="249"/>
      <c r="B5" s="249"/>
      <c r="C5" s="249"/>
      <c r="D5" s="253"/>
      <c r="E5" s="301">
        <f>E4/2080</f>
        <v>55.578400442307696</v>
      </c>
      <c r="F5" s="301">
        <f>F4/2080</f>
        <v>58.357544815384621</v>
      </c>
      <c r="G5" s="253" t="s">
        <v>11</v>
      </c>
      <c r="J5" s="312" t="s">
        <v>462</v>
      </c>
      <c r="K5" s="291">
        <f>(E7-E3)/E3</f>
        <v>0.13571226303696085</v>
      </c>
      <c r="L5" s="291">
        <f>(F7-F3)/F3</f>
        <v>0.13568112206548935</v>
      </c>
    </row>
    <row r="6" spans="1:12" ht="35.1" customHeight="1" x14ac:dyDescent="0.2">
      <c r="A6" s="249"/>
      <c r="B6" s="249"/>
      <c r="C6" s="249"/>
      <c r="D6" s="253"/>
      <c r="E6" s="372"/>
      <c r="F6" s="372"/>
      <c r="G6" s="253"/>
      <c r="J6" s="312"/>
      <c r="K6" s="291"/>
    </row>
    <row r="7" spans="1:12" x14ac:dyDescent="0.2">
      <c r="A7" s="249" t="s">
        <v>81</v>
      </c>
      <c r="B7" s="249" t="s">
        <v>88</v>
      </c>
      <c r="C7" s="266" t="s">
        <v>359</v>
      </c>
      <c r="D7" s="253" t="s">
        <v>34</v>
      </c>
      <c r="E7" s="372">
        <f>10726.4565*$J$2</f>
        <v>10940.985630000001</v>
      </c>
      <c r="F7" s="372">
        <f>11262.5138*$J$2</f>
        <v>11487.764076000001</v>
      </c>
      <c r="G7" s="253" t="s">
        <v>10</v>
      </c>
      <c r="J7" s="312" t="s">
        <v>460</v>
      </c>
      <c r="K7" s="291">
        <f>(F7-E7)/E7</f>
        <v>4.9975245785968569E-2</v>
      </c>
    </row>
    <row r="8" spans="1:12" x14ac:dyDescent="0.2">
      <c r="A8" s="249"/>
      <c r="B8" s="249"/>
      <c r="C8" s="266"/>
      <c r="D8" s="253"/>
      <c r="E8" s="372">
        <f>E7*12</f>
        <v>131291.82756000001</v>
      </c>
      <c r="F8" s="372">
        <f>F7*12</f>
        <v>137853.16891200002</v>
      </c>
      <c r="G8" s="253" t="s">
        <v>529</v>
      </c>
      <c r="J8" s="312" t="s">
        <v>461</v>
      </c>
      <c r="K8" s="291">
        <f>(F7-E7)/E7</f>
        <v>4.9975245785968569E-2</v>
      </c>
    </row>
    <row r="9" spans="1:12" x14ac:dyDescent="0.2">
      <c r="A9" s="249"/>
      <c r="B9" s="249"/>
      <c r="C9" s="266"/>
      <c r="D9" s="253"/>
      <c r="E9" s="301">
        <f>E8/2080</f>
        <v>63.121070942307696</v>
      </c>
      <c r="F9" s="301">
        <f>F8/2080</f>
        <v>66.275561976923086</v>
      </c>
      <c r="G9" s="253" t="s">
        <v>11</v>
      </c>
      <c r="J9" s="312"/>
      <c r="K9" s="291"/>
      <c r="L9" s="291"/>
    </row>
    <row r="10" spans="1:12" ht="35.1" customHeight="1" x14ac:dyDescent="0.25">
      <c r="A10" s="373"/>
      <c r="B10" s="249"/>
      <c r="C10" s="374"/>
      <c r="D10" s="253"/>
      <c r="E10" s="372"/>
      <c r="F10" s="372"/>
      <c r="G10" s="253"/>
    </row>
    <row r="12" spans="1:12" x14ac:dyDescent="0.2">
      <c r="D12" s="253"/>
      <c r="E12" s="372"/>
      <c r="F12" s="372"/>
      <c r="G12" s="253"/>
    </row>
    <row r="13" spans="1:12" x14ac:dyDescent="0.2">
      <c r="D13" s="253"/>
      <c r="E13" s="258"/>
      <c r="F13" s="509"/>
      <c r="G13" s="253"/>
    </row>
    <row r="14" spans="1:12" x14ac:dyDescent="0.2">
      <c r="D14" s="253"/>
      <c r="E14" s="372"/>
      <c r="F14" s="372"/>
      <c r="G14" s="253"/>
    </row>
    <row r="15" spans="1:12" x14ac:dyDescent="0.2">
      <c r="D15" s="253"/>
      <c r="E15" s="372"/>
      <c r="F15" s="372"/>
      <c r="G15" s="253"/>
    </row>
    <row r="16" spans="1:12" x14ac:dyDescent="0.2">
      <c r="D16" s="253"/>
      <c r="E16" s="301"/>
      <c r="F16" s="301"/>
      <c r="G16" s="253"/>
    </row>
    <row r="17" spans="4:7" x14ac:dyDescent="0.2">
      <c r="D17" s="253"/>
      <c r="E17" s="258"/>
      <c r="F17" s="253"/>
      <c r="G17" s="253"/>
    </row>
    <row r="18" spans="4:7" x14ac:dyDescent="0.2">
      <c r="D18" s="253"/>
      <c r="E18" s="258"/>
      <c r="F18" s="253"/>
      <c r="G18" s="253"/>
    </row>
    <row r="19" spans="4:7" x14ac:dyDescent="0.2">
      <c r="D19" s="253"/>
      <c r="E19" s="258"/>
      <c r="F19" s="253"/>
      <c r="G19" s="253"/>
    </row>
  </sheetData>
  <customSheetViews>
    <customSheetView guid="{03674138-A9FA-46A6-AB09-A74C70852C0D}" showPageBreaks="1" printArea="1" view="pageLayout">
      <selection activeCell="D14" sqref="D14"/>
      <pageMargins left="0.25" right="0.25" top="2" bottom="1" header="0.5" footer="0.5"/>
      <printOptions horizontalCentered="1" gridLines="1"/>
      <pageSetup orientation="portrait" r:id="rId1"/>
      <headerFooter alignWithMargins="0">
        <oddHeader>&amp;L&amp;"Times New Roman,Regular"Ordinance #  (budget adoption)
Resolution # 8961 (contract adoption)&amp;C&amp;"Times New Roman,Bold"&amp;16
ATTACHMENT I
2016 CITY OF BELLEVUE PAY PLANS
BELLEVUE POLICE MANAGEMENT ASSOCIATION
POLICE CAPTAINS AND MAJORS</oddHeader>
        <oddFooter>&amp;L&amp;"Times New Roman,Regular"* Position is exempt from overtime.&amp;C&amp;"Times New Roman,Bold"&amp;16&amp;A</oddFooter>
      </headerFooter>
    </customSheetView>
    <customSheetView guid="{6140C585-A678-4296-91B8-0C17DF653D09}" showPageBreaks="1" printArea="1" view="pageLayout">
      <selection sqref="A1:A2"/>
      <pageMargins left="0.25" right="0.25" top="2" bottom="1" header="0.5" footer="0.5"/>
      <printOptions horizontalCentered="1" gridLines="1"/>
      <pageSetup orientation="portrait" r:id="rId2"/>
      <headerFooter alignWithMargins="0">
        <oddHeader>&amp;LOrdinance #  (budget adoption)
Resolution # 8961 (contract adoption)&amp;C&amp;"Arial,Bold"&amp;16
2016 CITY OF BELLEVUE PAY PLANS
&amp;14BELLEVUE POLICE MANAGEMENT ASSOCIATION
POLICE CAPTAINS AND MAJORS</oddHeader>
        <oddFooter>&amp;L* Position is exempt from overtime.&amp;C&amp;"Arial,Bold"&amp;16&amp;A&amp;REffective 01/01/16
System Update 01/xx/16</oddFooter>
      </headerFooter>
    </customSheetView>
    <customSheetView guid="{49073133-97C6-4E81-BEFE-D9E658C173F7}" showPageBreaks="1" printArea="1" view="pageLayout">
      <selection sqref="A1:A2"/>
      <pageMargins left="0.25" right="0.25" top="2" bottom="1" header="0.5" footer="0.5"/>
      <printOptions horizontalCentered="1" gridLines="1"/>
      <pageSetup orientation="portrait" r:id="rId3"/>
      <headerFooter alignWithMargins="0">
        <oddHeader>&amp;LOrdinance #  (budget adoption)
Resolution # 8961 (contract adoption)&amp;C&amp;"Arial,Bold"&amp;16
2016 CITY OF BELLEVUE PAY PLANS
&amp;14BELLEVUE POLICE MANAGEMENT ASSOCIATION
POLICE CAPTAINS AND MAJORS</oddHeader>
        <oddFooter>&amp;L* Position is exempt from overtime.&amp;C&amp;"Arial,Bold"&amp;16&amp;A&amp;REffective 01/01/16
System Update 01/xx/16</oddFooter>
      </headerFooter>
    </customSheetView>
  </customSheetViews>
  <mergeCells count="5">
    <mergeCell ref="E1:F1"/>
    <mergeCell ref="A1:A2"/>
    <mergeCell ref="C1:C2"/>
    <mergeCell ref="D1:D2"/>
    <mergeCell ref="B1:B2"/>
  </mergeCells>
  <phoneticPr fontId="7" type="noConversion"/>
  <printOptions horizontalCentered="1" gridLines="1"/>
  <pageMargins left="0.25" right="0.25" top="2" bottom="1" header="0.5" footer="0.5"/>
  <pageSetup orientation="portrait" r:id="rId4"/>
  <headerFooter alignWithMargins="0">
    <oddHeader>&amp;LOrdinance #6333 (pay plan adoption)
Resolution # 8961 (contract adoption)&amp;C&amp;"Times New Roman,Bold"&amp;16
2017 CITY OF BELLEVUE PAY PLANS
&amp;14BELLEVUE POLICE MANAGEMENT ASSOCIATION
POLICE CAPTAINS AND MAJORS</oddHeader>
    <oddFooter>&amp;L* Position is exempt from overtime.&amp;C&amp;"Arial,Bold"&amp;16&amp;A&amp;REffective 01/01/17
System Update 01/xx/17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H28"/>
  <sheetViews>
    <sheetView view="pageLayout" zoomScaleNormal="100" workbookViewId="0">
      <selection activeCell="A3" sqref="A3"/>
    </sheetView>
  </sheetViews>
  <sheetFormatPr defaultColWidth="11.42578125" defaultRowHeight="12.75" x14ac:dyDescent="0.2"/>
  <cols>
    <col min="1" max="1" width="9.7109375" style="22" customWidth="1"/>
    <col min="2" max="2" width="17.7109375" style="22" customWidth="1"/>
    <col min="3" max="3" width="36.42578125" style="7" customWidth="1"/>
    <col min="4" max="4" width="10.7109375" style="23" customWidth="1"/>
    <col min="5" max="5" width="10.7109375" style="24" customWidth="1"/>
    <col min="6" max="6" width="1.7109375" style="24" customWidth="1"/>
    <col min="7" max="7" width="10.28515625" style="25" bestFit="1" customWidth="1"/>
    <col min="8" max="8" width="8.7109375" style="25" bestFit="1" customWidth="1"/>
    <col min="9" max="16384" width="11.42578125" style="7"/>
  </cols>
  <sheetData>
    <row r="1" spans="1:8" ht="20.100000000000001" customHeight="1" x14ac:dyDescent="0.2">
      <c r="A1" s="596" t="s">
        <v>793</v>
      </c>
      <c r="B1" s="596"/>
      <c r="C1" s="596"/>
      <c r="D1" s="596"/>
      <c r="E1" s="596"/>
      <c r="F1" s="7"/>
      <c r="G1" s="36"/>
    </row>
    <row r="2" spans="1:8" ht="13.5" thickBot="1" x14ac:dyDescent="0.25">
      <c r="A2" s="7"/>
    </row>
    <row r="3" spans="1:8" ht="39" thickBot="1" x14ac:dyDescent="0.25">
      <c r="A3" s="201" t="s">
        <v>469</v>
      </c>
      <c r="B3" s="201" t="s">
        <v>470</v>
      </c>
      <c r="C3" s="201" t="s">
        <v>471</v>
      </c>
      <c r="D3" s="116" t="s">
        <v>557</v>
      </c>
      <c r="E3" s="202" t="s">
        <v>556</v>
      </c>
      <c r="F3" s="28"/>
      <c r="G3" s="29"/>
      <c r="H3" s="29"/>
    </row>
    <row r="4" spans="1:8" x14ac:dyDescent="0.2">
      <c r="A4" s="203"/>
      <c r="B4" s="204"/>
      <c r="C4" s="205"/>
      <c r="D4" s="206"/>
      <c r="E4" s="207"/>
      <c r="F4" s="30"/>
    </row>
    <row r="5" spans="1:8" s="13" customFormat="1" ht="20.100000000000001" customHeight="1" x14ac:dyDescent="0.2">
      <c r="A5" s="45">
        <v>1020</v>
      </c>
      <c r="B5" s="208" t="s">
        <v>589</v>
      </c>
      <c r="C5" s="146" t="s">
        <v>590</v>
      </c>
      <c r="D5" s="209">
        <v>0.06</v>
      </c>
      <c r="E5" s="95">
        <f>'J- Police Mgmt (rep)'!F3*D5</f>
        <v>606.91846608000003</v>
      </c>
      <c r="F5" s="31"/>
      <c r="G5" s="32"/>
      <c r="H5" s="32"/>
    </row>
    <row r="6" spans="1:8" s="13" customFormat="1" ht="20.100000000000001" customHeight="1" x14ac:dyDescent="0.2">
      <c r="A6" s="45">
        <v>1022</v>
      </c>
      <c r="B6" s="208" t="s">
        <v>589</v>
      </c>
      <c r="C6" s="146" t="s">
        <v>591</v>
      </c>
      <c r="D6" s="209">
        <v>7.0000000000000007E-2</v>
      </c>
      <c r="E6" s="95">
        <f>'J- Police Mgmt (rep)'!F3*'J1'!D6</f>
        <v>708.07154376000005</v>
      </c>
      <c r="F6" s="31"/>
      <c r="G6" s="32"/>
      <c r="H6" s="32"/>
    </row>
    <row r="7" spans="1:8" s="13" customFormat="1" ht="20.100000000000001" customHeight="1" x14ac:dyDescent="0.2">
      <c r="A7" s="45">
        <v>1024</v>
      </c>
      <c r="B7" s="208" t="s">
        <v>589</v>
      </c>
      <c r="C7" s="146" t="s">
        <v>592</v>
      </c>
      <c r="D7" s="209">
        <v>0.08</v>
      </c>
      <c r="E7" s="95">
        <f>'J- Police Mgmt (rep)'!F3*'J1'!D7</f>
        <v>809.22462144000008</v>
      </c>
      <c r="F7" s="31"/>
      <c r="G7" s="32"/>
      <c r="H7" s="32"/>
    </row>
    <row r="8" spans="1:8" s="13" customFormat="1" ht="20.100000000000001" customHeight="1" x14ac:dyDescent="0.2">
      <c r="A8" s="45">
        <v>1026</v>
      </c>
      <c r="B8" s="208" t="s">
        <v>589</v>
      </c>
      <c r="C8" s="146" t="s">
        <v>593</v>
      </c>
      <c r="D8" s="209">
        <v>0.09</v>
      </c>
      <c r="E8" s="95">
        <f>'J- Police Mgmt (rep)'!F3*D8</f>
        <v>910.37769911999999</v>
      </c>
      <c r="F8" s="31"/>
      <c r="G8" s="32"/>
      <c r="H8" s="32"/>
    </row>
    <row r="9" spans="1:8" s="13" customFormat="1" ht="19.5" customHeight="1" x14ac:dyDescent="0.2">
      <c r="A9" s="208" t="s">
        <v>805</v>
      </c>
      <c r="B9" s="208" t="s">
        <v>806</v>
      </c>
      <c r="C9" s="146" t="s">
        <v>796</v>
      </c>
      <c r="D9" s="209">
        <v>0.1</v>
      </c>
      <c r="E9" s="95">
        <f>'J- Police Mgmt (rep)'!F3*D9</f>
        <v>1011.5307768000001</v>
      </c>
      <c r="F9" s="31"/>
      <c r="G9" s="32"/>
      <c r="H9" s="32"/>
    </row>
    <row r="10" spans="1:8" s="13" customFormat="1" ht="10.5" customHeight="1" x14ac:dyDescent="0.2">
      <c r="A10" s="208"/>
      <c r="B10" s="208"/>
      <c r="C10" s="146"/>
      <c r="D10" s="209"/>
      <c r="E10" s="95"/>
      <c r="F10" s="31"/>
      <c r="G10" s="32"/>
      <c r="H10" s="32"/>
    </row>
    <row r="11" spans="1:8" s="13" customFormat="1" ht="20.100000000000001" customHeight="1" x14ac:dyDescent="0.2">
      <c r="A11" s="200">
        <v>1016</v>
      </c>
      <c r="B11" s="208" t="s">
        <v>589</v>
      </c>
      <c r="C11" s="146" t="s">
        <v>797</v>
      </c>
      <c r="D11" s="209">
        <v>0.11</v>
      </c>
      <c r="E11" s="95">
        <f>'J- Police Mgmt (rep)'!F3*'J1'!D11</f>
        <v>1112.68385448</v>
      </c>
      <c r="F11" s="31"/>
      <c r="G11" s="32"/>
      <c r="H11" s="32"/>
    </row>
    <row r="12" spans="1:8" s="13" customFormat="1" ht="13.5" thickBot="1" x14ac:dyDescent="0.25">
      <c r="A12" s="210"/>
      <c r="B12" s="210"/>
      <c r="C12" s="211"/>
      <c r="D12" s="212"/>
      <c r="E12" s="101"/>
      <c r="F12" s="31"/>
      <c r="G12" s="32"/>
      <c r="H12" s="32"/>
    </row>
    <row r="13" spans="1:8" ht="15" customHeight="1" x14ac:dyDescent="0.2">
      <c r="A13" s="18"/>
      <c r="B13" s="18"/>
      <c r="C13" s="19"/>
      <c r="D13" s="20"/>
      <c r="E13" s="21"/>
      <c r="F13" s="21"/>
    </row>
    <row r="14" spans="1:8" x14ac:dyDescent="0.2">
      <c r="C14" s="33"/>
    </row>
    <row r="15" spans="1:8" ht="19.5" customHeight="1" x14ac:dyDescent="0.2">
      <c r="A15" s="596" t="s">
        <v>794</v>
      </c>
      <c r="B15" s="596"/>
      <c r="C15" s="596"/>
      <c r="D15" s="596"/>
      <c r="E15" s="596"/>
    </row>
    <row r="16" spans="1:8" ht="13.5" thickBot="1" x14ac:dyDescent="0.25">
      <c r="A16" s="7"/>
    </row>
    <row r="17" spans="1:8" ht="39" thickBot="1" x14ac:dyDescent="0.25">
      <c r="A17" s="201" t="s">
        <v>469</v>
      </c>
      <c r="B17" s="201" t="s">
        <v>470</v>
      </c>
      <c r="C17" s="201" t="s">
        <v>471</v>
      </c>
      <c r="D17" s="116" t="s">
        <v>795</v>
      </c>
      <c r="E17" s="202" t="s">
        <v>556</v>
      </c>
    </row>
    <row r="18" spans="1:8" ht="12" customHeight="1" x14ac:dyDescent="0.2">
      <c r="A18" s="203"/>
      <c r="B18" s="204"/>
      <c r="C18" s="205"/>
      <c r="D18" s="206"/>
      <c r="E18" s="207"/>
    </row>
    <row r="19" spans="1:8" s="13" customFormat="1" ht="19.5" customHeight="1" x14ac:dyDescent="0.2">
      <c r="A19" s="45" t="s">
        <v>808</v>
      </c>
      <c r="B19" s="45" t="s">
        <v>808</v>
      </c>
      <c r="C19" s="146" t="s">
        <v>590</v>
      </c>
      <c r="D19" s="209">
        <v>0.06</v>
      </c>
      <c r="E19" s="95">
        <f>'J- Police Mgmt (rep)'!F7*D19</f>
        <v>689.26584456000001</v>
      </c>
      <c r="F19" s="48"/>
      <c r="G19" s="32"/>
      <c r="H19" s="32"/>
    </row>
    <row r="20" spans="1:8" s="13" customFormat="1" ht="19.5" customHeight="1" x14ac:dyDescent="0.2">
      <c r="A20" s="45" t="s">
        <v>808</v>
      </c>
      <c r="B20" s="45" t="s">
        <v>808</v>
      </c>
      <c r="C20" s="146" t="s">
        <v>591</v>
      </c>
      <c r="D20" s="209">
        <v>7.0000000000000007E-2</v>
      </c>
      <c r="E20" s="95">
        <f>'J- Police Mgmt (rep)'!F7*D20</f>
        <v>804.1434853200002</v>
      </c>
      <c r="F20" s="48"/>
      <c r="G20" s="32"/>
      <c r="H20" s="32"/>
    </row>
    <row r="21" spans="1:8" s="13" customFormat="1" ht="19.5" customHeight="1" x14ac:dyDescent="0.2">
      <c r="A21" s="45" t="s">
        <v>808</v>
      </c>
      <c r="B21" s="45" t="s">
        <v>808</v>
      </c>
      <c r="C21" s="146" t="s">
        <v>592</v>
      </c>
      <c r="D21" s="209">
        <v>0.08</v>
      </c>
      <c r="E21" s="95">
        <f>'J- Police Mgmt (rep)'!F7*D21</f>
        <v>919.02112608000016</v>
      </c>
      <c r="F21" s="48"/>
      <c r="G21" s="32"/>
      <c r="H21" s="32"/>
    </row>
    <row r="22" spans="1:8" s="13" customFormat="1" ht="19.5" customHeight="1" x14ac:dyDescent="0.2">
      <c r="A22" s="45" t="s">
        <v>808</v>
      </c>
      <c r="B22" s="45" t="s">
        <v>808</v>
      </c>
      <c r="C22" s="146" t="s">
        <v>593</v>
      </c>
      <c r="D22" s="209">
        <v>0.09</v>
      </c>
      <c r="E22" s="95">
        <f>'J- Police Mgmt (rep)'!F7*D22</f>
        <v>1033.89876684</v>
      </c>
      <c r="F22" s="48"/>
      <c r="G22" s="32"/>
      <c r="H22" s="32"/>
    </row>
    <row r="23" spans="1:8" s="13" customFormat="1" ht="19.5" customHeight="1" x14ac:dyDescent="0.2">
      <c r="A23" s="45" t="s">
        <v>808</v>
      </c>
      <c r="B23" s="45" t="s">
        <v>808</v>
      </c>
      <c r="C23" s="146" t="s">
        <v>796</v>
      </c>
      <c r="D23" s="209">
        <v>0.1</v>
      </c>
      <c r="E23" s="95">
        <f>'J- Police Mgmt (rep)'!F7*D23</f>
        <v>1148.7764076000001</v>
      </c>
      <c r="F23" s="48"/>
      <c r="G23" s="32"/>
      <c r="H23" s="32"/>
    </row>
    <row r="24" spans="1:8" s="13" customFormat="1" ht="9.75" customHeight="1" x14ac:dyDescent="0.2">
      <c r="A24" s="45"/>
      <c r="B24" s="208"/>
      <c r="C24" s="146"/>
      <c r="D24" s="209"/>
      <c r="E24" s="95"/>
      <c r="F24" s="48"/>
      <c r="G24" s="32"/>
      <c r="H24" s="32"/>
    </row>
    <row r="25" spans="1:8" s="13" customFormat="1" ht="19.5" customHeight="1" x14ac:dyDescent="0.2">
      <c r="A25" s="45">
        <v>1031</v>
      </c>
      <c r="B25" s="208" t="s">
        <v>807</v>
      </c>
      <c r="C25" s="146" t="s">
        <v>797</v>
      </c>
      <c r="D25" s="209">
        <v>0.11</v>
      </c>
      <c r="E25" s="95">
        <f>'J- Police Mgmt (rep)'!F7*D25</f>
        <v>1263.6540483600002</v>
      </c>
      <c r="F25" s="48"/>
      <c r="G25" s="32"/>
      <c r="H25" s="32"/>
    </row>
    <row r="26" spans="1:8" ht="13.5" thickBot="1" x14ac:dyDescent="0.25">
      <c r="A26" s="179"/>
      <c r="B26" s="179"/>
      <c r="C26" s="213"/>
      <c r="D26" s="214"/>
      <c r="E26" s="215"/>
    </row>
    <row r="28" spans="1:8" s="134" customFormat="1" ht="15" x14ac:dyDescent="0.25">
      <c r="A28" s="238"/>
      <c r="B28" s="150"/>
      <c r="D28" s="152"/>
      <c r="E28" s="50"/>
      <c r="F28" s="50"/>
      <c r="G28" s="216"/>
      <c r="H28" s="216"/>
    </row>
  </sheetData>
  <customSheetViews>
    <customSheetView guid="{03674138-A9FA-46A6-AB09-A74C70852C0D}" showPageBreaks="1" fitToPage="1" printArea="1" state="hidden" view="pageLayout">
      <selection activeCell="A3" sqref="A3"/>
      <pageMargins left="0.25" right="0.25" top="1" bottom="1" header="0.5" footer="0.25"/>
      <printOptions horizontalCentered="1"/>
      <pageSetup orientation="portrait" r:id="rId1"/>
      <headerFooter alignWithMargins="0">
        <oddHeader>&amp;C2016 CITY OF BELLEVUE PAY PLANS
BELLEVUE POLICE MANAGEMENT ASSOCIATION
POLICE CAPTAINS AND MAJORS</oddHeader>
        <oddFooter>&amp;C&amp;"Arial,Bold"&amp;16&amp;A</oddFooter>
      </headerFooter>
    </customSheetView>
    <customSheetView guid="{6140C585-A678-4296-91B8-0C17DF653D09}" showPageBreaks="1" fitToPage="1" printArea="1" view="pageLayout">
      <selection activeCell="A3" sqref="A3"/>
      <pageMargins left="0.25" right="0.25" top="1" bottom="1" header="0.5" footer="0.25"/>
      <printOptions horizontalCentered="1"/>
      <pageSetup orientation="portrait" r:id="rId2"/>
      <headerFooter alignWithMargins="0">
        <oddHeader>&amp;C2016 CITY OF BELLEVUE PAY PLANS
BELLEVUE POLICE MANAGEMENT ASSOCIATION
POLICE CAPTAINS AND MAJORS</oddHeader>
        <oddFooter>&amp;C&amp;"Arial,Bold"&amp;16&amp;A</oddFooter>
      </headerFooter>
    </customSheetView>
    <customSheetView guid="{49073133-97C6-4E81-BEFE-D9E658C173F7}" showPageBreaks="1" fitToPage="1" printArea="1" view="pageLayout">
      <selection activeCell="A3" sqref="A3"/>
      <pageMargins left="0.25" right="0.25" top="1" bottom="1" header="0.5" footer="0.25"/>
      <printOptions horizontalCentered="1"/>
      <pageSetup orientation="portrait" r:id="rId3"/>
      <headerFooter alignWithMargins="0">
        <oddHeader>&amp;C2016 CITY OF BELLEVUE PAY PLANS
BELLEVUE POLICE MANAGEMENT ASSOCIATION
POLICE CAPTAINS AND MAJORS</oddHeader>
        <oddFooter>&amp;C&amp;"Arial,Bold"&amp;16&amp;A</oddFooter>
      </headerFooter>
    </customSheetView>
  </customSheetViews>
  <mergeCells count="2">
    <mergeCell ref="A1:E1"/>
    <mergeCell ref="A15:E15"/>
  </mergeCells>
  <phoneticPr fontId="7" type="noConversion"/>
  <printOptions horizontalCentered="1"/>
  <pageMargins left="0.25" right="0.25" top="1" bottom="1" header="0.5" footer="0.25"/>
  <pageSetup orientation="portrait" r:id="rId4"/>
  <headerFooter alignWithMargins="0">
    <oddHeader>&amp;C2017 CITY OF BELLEVUE PAY PLANS
BELLEVUE POLICE MANAGEMENT ASSOCIATION
POLICE CAPTAINS AND MAJORS</oddHeader>
    <oddFooter>&amp;C&amp;"Arial,Bold"&amp;16&amp;A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R10"/>
  <sheetViews>
    <sheetView view="pageLayout" zoomScaleNormal="100" workbookViewId="0">
      <selection sqref="A1:A2"/>
    </sheetView>
  </sheetViews>
  <sheetFormatPr defaultColWidth="9.140625" defaultRowHeight="12.75" x14ac:dyDescent="0.2"/>
  <cols>
    <col min="1" max="1" width="5" style="273" customWidth="1"/>
    <col min="2" max="2" width="8.7109375" style="273" customWidth="1"/>
    <col min="3" max="3" width="35.7109375" style="246" customWidth="1"/>
    <col min="4" max="9" width="10.7109375" style="274" customWidth="1"/>
    <col min="10" max="10" width="10.7109375" style="246" bestFit="1" customWidth="1"/>
    <col min="11" max="12" width="9.140625" style="246"/>
    <col min="13" max="13" width="14" style="246" customWidth="1"/>
    <col min="14" max="16384" width="9.140625" style="246"/>
  </cols>
  <sheetData>
    <row r="1" spans="1:18" s="261" customFormat="1" x14ac:dyDescent="0.2">
      <c r="A1" s="563" t="s">
        <v>559</v>
      </c>
      <c r="B1" s="565" t="s">
        <v>0</v>
      </c>
      <c r="C1" s="565" t="s">
        <v>1</v>
      </c>
      <c r="D1" s="562" t="s">
        <v>2</v>
      </c>
      <c r="E1" s="562"/>
      <c r="F1" s="562"/>
      <c r="G1" s="562"/>
      <c r="H1" s="562"/>
      <c r="I1" s="562"/>
      <c r="J1" s="399">
        <v>2017</v>
      </c>
      <c r="L1" s="375"/>
      <c r="M1" s="376" t="s">
        <v>1064</v>
      </c>
      <c r="N1" s="544" t="s">
        <v>2</v>
      </c>
      <c r="O1" s="544"/>
      <c r="P1" s="544"/>
      <c r="Q1" s="544"/>
      <c r="R1" s="544"/>
    </row>
    <row r="2" spans="1:18" s="264" customFormat="1" x14ac:dyDescent="0.2">
      <c r="A2" s="564"/>
      <c r="B2" s="564"/>
      <c r="C2" s="566"/>
      <c r="D2" s="320">
        <v>1</v>
      </c>
      <c r="E2" s="320">
        <v>2</v>
      </c>
      <c r="F2" s="320">
        <v>3</v>
      </c>
      <c r="G2" s="320">
        <v>4</v>
      </c>
      <c r="H2" s="320">
        <v>5</v>
      </c>
      <c r="I2" s="320">
        <v>6</v>
      </c>
      <c r="J2" s="398"/>
      <c r="L2" s="377"/>
      <c r="M2" s="505">
        <v>1.018</v>
      </c>
      <c r="N2" s="265" t="s">
        <v>455</v>
      </c>
      <c r="O2" s="265" t="s">
        <v>456</v>
      </c>
      <c r="P2" s="265" t="s">
        <v>457</v>
      </c>
      <c r="Q2" s="265" t="s">
        <v>458</v>
      </c>
      <c r="R2" s="265" t="s">
        <v>459</v>
      </c>
    </row>
    <row r="3" spans="1:18" x14ac:dyDescent="0.2">
      <c r="A3" s="249" t="s">
        <v>82</v>
      </c>
      <c r="B3" s="266" t="s">
        <v>651</v>
      </c>
      <c r="C3" s="253" t="s">
        <v>652</v>
      </c>
      <c r="D3" s="378">
        <f>5704.18*$M$2</f>
        <v>5806.8552400000008</v>
      </c>
      <c r="E3" s="378">
        <f>5992.87*$M$2</f>
        <v>6100.7416599999997</v>
      </c>
      <c r="F3" s="378">
        <f>6297.13*$M$2</f>
        <v>6410.4783400000006</v>
      </c>
      <c r="G3" s="378">
        <f>6672.06*$M$2</f>
        <v>6792.1570800000009</v>
      </c>
      <c r="H3" s="378">
        <f>7050.59*$M$2</f>
        <v>7177.5006200000007</v>
      </c>
      <c r="I3" s="378">
        <f>7405.15*$M$2</f>
        <v>7538.4426999999996</v>
      </c>
      <c r="J3" s="253" t="s">
        <v>10</v>
      </c>
      <c r="M3" s="312" t="s">
        <v>460</v>
      </c>
      <c r="N3" s="291">
        <f>(E4-D4)/D4</f>
        <v>5.0610254234613718E-2</v>
      </c>
      <c r="O3" s="291">
        <f>(F4-E4)/E4</f>
        <v>5.0770332077952729E-2</v>
      </c>
      <c r="P3" s="291">
        <f>(G4-F4)/F4</f>
        <v>5.9539822109437243E-2</v>
      </c>
      <c r="Q3" s="291">
        <f>(H4-G4)/G4</f>
        <v>5.6733602515564967E-2</v>
      </c>
      <c r="R3" s="291">
        <f>(I4-H4)/H4</f>
        <v>5.0287990083099178E-2</v>
      </c>
    </row>
    <row r="4" spans="1:18" x14ac:dyDescent="0.2">
      <c r="A4" s="249"/>
      <c r="B4" s="266"/>
      <c r="C4" s="251"/>
      <c r="D4" s="372">
        <f>D3*12</f>
        <v>69682.262880000009</v>
      </c>
      <c r="E4" s="372">
        <f t="shared" ref="E4:I4" si="0">E3*12</f>
        <v>73208.899919999996</v>
      </c>
      <c r="F4" s="372">
        <f t="shared" si="0"/>
        <v>76925.740080000003</v>
      </c>
      <c r="G4" s="372">
        <f t="shared" si="0"/>
        <v>81505.88496000001</v>
      </c>
      <c r="H4" s="372">
        <f t="shared" si="0"/>
        <v>86130.007440000016</v>
      </c>
      <c r="I4" s="372">
        <f t="shared" si="0"/>
        <v>90461.312399999995</v>
      </c>
      <c r="J4" s="253" t="s">
        <v>529</v>
      </c>
      <c r="M4" s="312" t="s">
        <v>461</v>
      </c>
      <c r="N4" s="291">
        <f>(I4-D4)/D4</f>
        <v>0.29819711159184997</v>
      </c>
    </row>
    <row r="5" spans="1:18" x14ac:dyDescent="0.2">
      <c r="A5" s="249"/>
      <c r="B5" s="249"/>
      <c r="C5" s="253"/>
      <c r="D5" s="301">
        <f t="shared" ref="D5:I5" si="1">+D4/2080</f>
        <v>33.501087923076931</v>
      </c>
      <c r="E5" s="301">
        <f t="shared" si="1"/>
        <v>35.196586499999995</v>
      </c>
      <c r="F5" s="301">
        <f t="shared" si="1"/>
        <v>36.983528884615389</v>
      </c>
      <c r="G5" s="301">
        <f t="shared" si="1"/>
        <v>39.185521615384623</v>
      </c>
      <c r="H5" s="301">
        <f t="shared" si="1"/>
        <v>41.408657423076932</v>
      </c>
      <c r="I5" s="301">
        <f t="shared" si="1"/>
        <v>43.491015576923076</v>
      </c>
      <c r="J5" s="253" t="s">
        <v>11</v>
      </c>
      <c r="M5" s="312"/>
      <c r="N5" s="291"/>
      <c r="O5" s="291"/>
      <c r="P5" s="291"/>
      <c r="Q5" s="291"/>
      <c r="R5" s="291"/>
    </row>
    <row r="6" spans="1:18" ht="34.5" customHeight="1" x14ac:dyDescent="0.3">
      <c r="A6" s="272"/>
      <c r="B6" s="249"/>
      <c r="C6" s="253"/>
      <c r="D6" s="258"/>
      <c r="E6" s="258"/>
      <c r="F6" s="258"/>
      <c r="G6" s="258"/>
      <c r="H6" s="258"/>
      <c r="I6" s="258"/>
      <c r="J6" s="253"/>
    </row>
    <row r="8" spans="1:18" x14ac:dyDescent="0.2">
      <c r="D8" s="317"/>
      <c r="E8" s="317"/>
      <c r="F8" s="317"/>
      <c r="G8" s="317"/>
      <c r="H8" s="317"/>
      <c r="I8" s="317"/>
    </row>
    <row r="10" spans="1:18" x14ac:dyDescent="0.2">
      <c r="D10" s="317"/>
      <c r="E10" s="317"/>
      <c r="F10" s="317"/>
      <c r="G10" s="317"/>
      <c r="H10" s="317"/>
      <c r="I10" s="317"/>
    </row>
  </sheetData>
  <customSheetViews>
    <customSheetView guid="{03674138-A9FA-46A6-AB09-A74C70852C0D}" showPageBreaks="1" printArea="1" view="pageLayout">
      <selection activeCell="E6" sqref="E6"/>
      <pageMargins left="0.25" right="0.25" top="2" bottom="1" header="0.5" footer="0.5"/>
      <printOptions horizontalCentered="1" gridLines="1"/>
      <pageSetup scale="83" orientation="portrait" r:id="rId1"/>
      <headerFooter alignWithMargins="0">
        <oddHeader>&amp;L&amp;"Times New Roman,Regular"Ordinance #  (budget adoption)
Resolution #8415 (contract adoption)&amp;C&amp;"Times New Roman,Bold"&amp;16
ATTACHMENT I
2014 CITY OF BELLEVUE PAY PLANS
INTERNATIONAL ASSOCIATION OF FIREFIGHTERS UNION, LOCAL #1604 
FIRE PREVENTION</oddHeader>
        <oddFooter>&amp;C&amp;"Times New Roman,Bold"&amp;16&amp;A</oddFooter>
      </headerFooter>
    </customSheetView>
    <customSheetView guid="{6140C585-A678-4296-91B8-0C17DF653D09}" showPageBreaks="1" printArea="1" view="pageLayout">
      <selection sqref="A1:A2"/>
      <pageMargins left="0.25" right="0.25" top="2" bottom="1" header="0.5" footer="0.5"/>
      <printOptions horizontalCentered="1" gridLines="1"/>
      <pageSetup scale="83" orientation="portrait" r:id="rId2"/>
      <headerFooter alignWithMargins="0">
        <oddHeader>&amp;LOrdinance #  (budget adoption)
Resolution #8415 (contract adoption)&amp;C&amp;"Arial,Bold"&amp;16
2014 CITY OF BELLEVUE PAY PLANS
&amp;14INTERNATIONAL ASSOCIATION OF FIREFIGHTERS UNION, LOCAL #1604 
FIRE PREVENTION</oddHeader>
        <oddFooter xml:space="preserve">&amp;C&amp;"Arial,Bold"&amp;16&amp;A&amp;REffective 01/01/14
System Update 01/xx/14 </oddFooter>
      </headerFooter>
    </customSheetView>
    <customSheetView guid="{49073133-97C6-4E81-BEFE-D9E658C173F7}" showPageBreaks="1" printArea="1" view="pageLayout">
      <selection sqref="A1:A2"/>
      <pageMargins left="0.25" right="0.25" top="2" bottom="1" header="0.5" footer="0.5"/>
      <printOptions horizontalCentered="1" gridLines="1"/>
      <pageSetup scale="83" orientation="portrait" r:id="rId3"/>
      <headerFooter alignWithMargins="0">
        <oddHeader>&amp;LOrdinance #  (budget adoption)
Resolution #8415 (contract adoption)&amp;C&amp;"Arial,Bold"&amp;16
2014 CITY OF BELLEVUE PAY PLANS
&amp;14INTERNATIONAL ASSOCIATION OF FIREFIGHTERS UNION, LOCAL #1604 
FIRE PREVENTION</oddHeader>
        <oddFooter xml:space="preserve">&amp;C&amp;"Arial,Bold"&amp;16&amp;A&amp;REffective 01/01/14
System Update 01/xx/14 </oddFooter>
      </headerFooter>
    </customSheetView>
  </customSheetViews>
  <mergeCells count="5">
    <mergeCell ref="N1:R1"/>
    <mergeCell ref="D1:I1"/>
    <mergeCell ref="A1:A2"/>
    <mergeCell ref="B1:B2"/>
    <mergeCell ref="C1:C2"/>
  </mergeCells>
  <phoneticPr fontId="7" type="noConversion"/>
  <printOptions horizontalCentered="1" gridLines="1"/>
  <pageMargins left="0.25" right="0.25" top="2" bottom="1" header="0.5" footer="0.5"/>
  <pageSetup scale="83" orientation="portrait" r:id="rId4"/>
  <headerFooter alignWithMargins="0">
    <oddHeader>&amp;LOrdinance #6333 (budget adoption)
Resolution #9049 (contract adoption)&amp;C&amp;"Times New Roman,Bold"&amp;16
2017 CITY OF BELLEVUE PAY PLANS
INTERNATIONAL ASSOCIATION OF FIREFIGHTERS UNION, LOCAL #1604 
FIRE PREVENTION</oddHeader>
    <oddFooter xml:space="preserve">&amp;C&amp;"Arial,Bold"&amp;16&amp;A&amp;REffective 01/01/17
System Update 01/xx/17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J26"/>
  <sheetViews>
    <sheetView view="pageLayout" zoomScaleNormal="100" workbookViewId="0">
      <selection activeCell="A2" sqref="A2:A4"/>
    </sheetView>
  </sheetViews>
  <sheetFormatPr defaultColWidth="11.42578125" defaultRowHeight="12.75" x14ac:dyDescent="0.2"/>
  <cols>
    <col min="1" max="1" width="6.42578125" style="150" bestFit="1" customWidth="1"/>
    <col min="2" max="2" width="14.140625" style="134" customWidth="1"/>
    <col min="3" max="3" width="31.7109375" style="134" bestFit="1" customWidth="1"/>
    <col min="4" max="4" width="9.7109375" style="152" customWidth="1"/>
    <col min="5" max="10" width="10.7109375" style="134" customWidth="1"/>
    <col min="11" max="16384" width="11.42578125" style="134"/>
  </cols>
  <sheetData>
    <row r="1" spans="1:10" ht="13.5" thickBot="1" x14ac:dyDescent="0.25"/>
    <row r="2" spans="1:10" s="442" customFormat="1" ht="18" customHeight="1" x14ac:dyDescent="0.2">
      <c r="A2" s="608" t="s">
        <v>469</v>
      </c>
      <c r="B2" s="608" t="s">
        <v>470</v>
      </c>
      <c r="C2" s="608" t="s">
        <v>471</v>
      </c>
      <c r="D2" s="613" t="s">
        <v>473</v>
      </c>
      <c r="E2" s="604" t="s">
        <v>653</v>
      </c>
      <c r="F2" s="605"/>
      <c r="G2" s="605"/>
      <c r="H2" s="605"/>
      <c r="I2" s="606"/>
      <c r="J2" s="607"/>
    </row>
    <row r="3" spans="1:10" s="442" customFormat="1" ht="18" customHeight="1" x14ac:dyDescent="0.2">
      <c r="A3" s="609"/>
      <c r="B3" s="611"/>
      <c r="C3" s="611"/>
      <c r="D3" s="609"/>
      <c r="E3" s="180" t="s">
        <v>474</v>
      </c>
      <c r="F3" s="181" t="s">
        <v>475</v>
      </c>
      <c r="G3" s="181" t="s">
        <v>476</v>
      </c>
      <c r="H3" s="181" t="s">
        <v>477</v>
      </c>
      <c r="I3" s="181" t="s">
        <v>478</v>
      </c>
      <c r="J3" s="182" t="s">
        <v>524</v>
      </c>
    </row>
    <row r="4" spans="1:10" s="442" customFormat="1" ht="18" customHeight="1" thickBot="1" x14ac:dyDescent="0.25">
      <c r="A4" s="610"/>
      <c r="B4" s="612"/>
      <c r="C4" s="612"/>
      <c r="D4" s="610"/>
      <c r="E4" s="183">
        <f>+'K- Fire Prevention (rep)'!D3</f>
        <v>5806.8552400000008</v>
      </c>
      <c r="F4" s="184">
        <f>+'K- Fire Prevention (rep)'!E3</f>
        <v>6100.7416599999997</v>
      </c>
      <c r="G4" s="184">
        <f>+'K- Fire Prevention (rep)'!F3</f>
        <v>6410.4783400000006</v>
      </c>
      <c r="H4" s="184">
        <f>+'K- Fire Prevention (rep)'!G3</f>
        <v>6792.1570800000009</v>
      </c>
      <c r="I4" s="184">
        <f>+'K- Fire Prevention (rep)'!H3</f>
        <v>7177.5006200000007</v>
      </c>
      <c r="J4" s="185">
        <f>+'K- Fire Prevention (rep)'!I3</f>
        <v>7538.4426999999996</v>
      </c>
    </row>
    <row r="5" spans="1:10" ht="22.5" customHeight="1" thickBot="1" x14ac:dyDescent="0.3">
      <c r="A5" s="475" t="s">
        <v>921</v>
      </c>
      <c r="B5" s="475"/>
      <c r="C5" s="475"/>
      <c r="D5" s="105"/>
      <c r="E5" s="114"/>
      <c r="F5" s="114"/>
      <c r="G5" s="114"/>
      <c r="H5" s="114"/>
      <c r="I5" s="114"/>
      <c r="J5" s="76"/>
    </row>
    <row r="6" spans="1:10" ht="18" customHeight="1" thickBot="1" x14ac:dyDescent="0.25">
      <c r="A6" s="597" t="s">
        <v>1033</v>
      </c>
      <c r="B6" s="598"/>
      <c r="C6" s="598"/>
      <c r="D6" s="598"/>
      <c r="E6" s="598"/>
      <c r="F6" s="598"/>
      <c r="G6" s="598"/>
      <c r="H6" s="598"/>
      <c r="I6" s="598"/>
      <c r="J6" s="599"/>
    </row>
    <row r="7" spans="1:10" ht="32.25" customHeight="1" x14ac:dyDescent="0.2">
      <c r="A7" s="186">
        <v>1120</v>
      </c>
      <c r="B7" s="187" t="s">
        <v>918</v>
      </c>
      <c r="C7" s="474" t="s">
        <v>1036</v>
      </c>
      <c r="D7" s="188">
        <v>0.01</v>
      </c>
      <c r="E7" s="443">
        <f>$E$4*D7</f>
        <v>58.068552400000009</v>
      </c>
      <c r="F7" s="443">
        <f>$F$4*D7</f>
        <v>61.007416599999999</v>
      </c>
      <c r="G7" s="443">
        <f>$G$4*D7</f>
        <v>64.104783400000002</v>
      </c>
      <c r="H7" s="443">
        <f>$H$4*D7</f>
        <v>67.921570800000012</v>
      </c>
      <c r="I7" s="444">
        <f>$I$4*D7</f>
        <v>71.775006200000007</v>
      </c>
      <c r="J7" s="445">
        <f t="shared" ref="J7:J13" si="0">$J$4*D7</f>
        <v>75.384427000000002</v>
      </c>
    </row>
    <row r="8" spans="1:10" ht="32.25" customHeight="1" x14ac:dyDescent="0.2">
      <c r="A8" s="189">
        <v>1121</v>
      </c>
      <c r="B8" s="190" t="s">
        <v>919</v>
      </c>
      <c r="C8" s="430" t="s">
        <v>1035</v>
      </c>
      <c r="D8" s="132">
        <v>0.02</v>
      </c>
      <c r="E8" s="446">
        <f t="shared" ref="E8:E13" si="1">$E$4*D8</f>
        <v>116.13710480000002</v>
      </c>
      <c r="F8" s="446">
        <f t="shared" ref="F8:F13" si="2">$F$4*D8</f>
        <v>122.0148332</v>
      </c>
      <c r="G8" s="446">
        <f t="shared" ref="G8:G13" si="3">$G$4*D8</f>
        <v>128.2095668</v>
      </c>
      <c r="H8" s="446">
        <f t="shared" ref="H8:H13" si="4">$H$4*D8</f>
        <v>135.84314160000002</v>
      </c>
      <c r="I8" s="447">
        <f t="shared" ref="I8:I13" si="5">$I$4*D8</f>
        <v>143.55001240000001</v>
      </c>
      <c r="J8" s="133">
        <f t="shared" si="0"/>
        <v>150.768854</v>
      </c>
    </row>
    <row r="9" spans="1:10" ht="32.25" customHeight="1" thickBot="1" x14ac:dyDescent="0.25">
      <c r="A9" s="476">
        <v>1122</v>
      </c>
      <c r="B9" s="195" t="s">
        <v>920</v>
      </c>
      <c r="C9" s="431" t="s">
        <v>1034</v>
      </c>
      <c r="D9" s="239">
        <v>0.03</v>
      </c>
      <c r="E9" s="454">
        <f t="shared" si="1"/>
        <v>174.20565720000002</v>
      </c>
      <c r="F9" s="454">
        <f t="shared" si="2"/>
        <v>183.0222498</v>
      </c>
      <c r="G9" s="454">
        <f t="shared" si="3"/>
        <v>192.31435020000001</v>
      </c>
      <c r="H9" s="454">
        <f t="shared" si="4"/>
        <v>203.76471240000001</v>
      </c>
      <c r="I9" s="455">
        <f t="shared" si="5"/>
        <v>215.32501860000002</v>
      </c>
      <c r="J9" s="166">
        <f t="shared" si="0"/>
        <v>226.15328099999999</v>
      </c>
    </row>
    <row r="10" spans="1:10" ht="16.5" customHeight="1" thickBot="1" x14ac:dyDescent="0.25">
      <c r="A10" s="191"/>
      <c r="B10" s="192"/>
      <c r="C10" s="193"/>
      <c r="D10" s="194"/>
      <c r="E10" s="448"/>
      <c r="F10" s="448"/>
      <c r="G10" s="448"/>
      <c r="H10" s="448"/>
      <c r="I10" s="449"/>
      <c r="J10" s="450"/>
    </row>
    <row r="11" spans="1:10" ht="18" customHeight="1" thickBot="1" x14ac:dyDescent="0.25">
      <c r="A11" s="597" t="s">
        <v>1040</v>
      </c>
      <c r="B11" s="598"/>
      <c r="C11" s="598"/>
      <c r="D11" s="598"/>
      <c r="E11" s="598"/>
      <c r="F11" s="598"/>
      <c r="G11" s="598"/>
      <c r="H11" s="598"/>
      <c r="I11" s="598"/>
      <c r="J11" s="599"/>
    </row>
    <row r="12" spans="1:10" ht="63" customHeight="1" x14ac:dyDescent="0.2">
      <c r="A12" s="472" t="s">
        <v>1037</v>
      </c>
      <c r="B12" s="473" t="s">
        <v>1038</v>
      </c>
      <c r="C12" s="473" t="s">
        <v>1039</v>
      </c>
      <c r="D12" s="441">
        <v>0.02</v>
      </c>
      <c r="E12" s="451">
        <f t="shared" si="1"/>
        <v>116.13710480000002</v>
      </c>
      <c r="F12" s="451">
        <f t="shared" si="2"/>
        <v>122.0148332</v>
      </c>
      <c r="G12" s="451">
        <f t="shared" si="3"/>
        <v>128.2095668</v>
      </c>
      <c r="H12" s="451">
        <f t="shared" si="4"/>
        <v>135.84314160000002</v>
      </c>
      <c r="I12" s="452">
        <f t="shared" si="5"/>
        <v>143.55001240000001</v>
      </c>
      <c r="J12" s="453">
        <f t="shared" si="0"/>
        <v>150.768854</v>
      </c>
    </row>
    <row r="13" spans="1:10" ht="63" customHeight="1" x14ac:dyDescent="0.2">
      <c r="A13" s="472" t="s">
        <v>1041</v>
      </c>
      <c r="B13" s="473" t="s">
        <v>1042</v>
      </c>
      <c r="C13" s="469" t="s">
        <v>1043</v>
      </c>
      <c r="D13" s="441">
        <v>0.03</v>
      </c>
      <c r="E13" s="451">
        <f t="shared" si="1"/>
        <v>174.20565720000002</v>
      </c>
      <c r="F13" s="451">
        <f t="shared" si="2"/>
        <v>183.0222498</v>
      </c>
      <c r="G13" s="451">
        <f t="shared" si="3"/>
        <v>192.31435020000001</v>
      </c>
      <c r="H13" s="451">
        <f t="shared" si="4"/>
        <v>203.76471240000001</v>
      </c>
      <c r="I13" s="452">
        <f t="shared" si="5"/>
        <v>215.32501860000002</v>
      </c>
      <c r="J13" s="453">
        <f t="shared" si="0"/>
        <v>226.15328099999999</v>
      </c>
    </row>
    <row r="14" spans="1:10" ht="63" customHeight="1" thickBot="1" x14ac:dyDescent="0.25">
      <c r="A14" s="470" t="s">
        <v>1044</v>
      </c>
      <c r="B14" s="471" t="s">
        <v>1045</v>
      </c>
      <c r="C14" s="431" t="s">
        <v>1046</v>
      </c>
      <c r="D14" s="239">
        <v>0.04</v>
      </c>
      <c r="E14" s="454">
        <f t="shared" ref="E14" si="6">$E$4*D14</f>
        <v>232.27420960000003</v>
      </c>
      <c r="F14" s="454">
        <f t="shared" ref="F14" si="7">$F$4*D14</f>
        <v>244.0296664</v>
      </c>
      <c r="G14" s="454">
        <f t="shared" ref="G14" si="8">$G$4*D14</f>
        <v>256.41913360000001</v>
      </c>
      <c r="H14" s="454">
        <f t="shared" ref="H14" si="9">$H$4*D14</f>
        <v>271.68628320000005</v>
      </c>
      <c r="I14" s="455">
        <f t="shared" ref="I14" si="10">$I$4*D14</f>
        <v>287.10002480000003</v>
      </c>
      <c r="J14" s="166">
        <f t="shared" ref="J14" si="11">$J$4*D14</f>
        <v>301.53770800000001</v>
      </c>
    </row>
    <row r="15" spans="1:10" ht="13.5" thickBot="1" x14ac:dyDescent="0.25">
      <c r="A15" s="196"/>
      <c r="B15" s="196"/>
      <c r="C15" s="196"/>
      <c r="D15" s="197"/>
      <c r="E15" s="456"/>
      <c r="F15" s="456"/>
      <c r="G15" s="456"/>
      <c r="H15" s="456"/>
      <c r="I15" s="457"/>
      <c r="J15" s="457"/>
    </row>
    <row r="16" spans="1:10" ht="18" customHeight="1" thickBot="1" x14ac:dyDescent="0.3">
      <c r="A16" s="600" t="s">
        <v>946</v>
      </c>
      <c r="B16" s="601"/>
      <c r="C16" s="601"/>
      <c r="D16" s="601"/>
      <c r="E16" s="601"/>
      <c r="F16" s="601"/>
      <c r="G16" s="601"/>
      <c r="H16" s="601"/>
      <c r="I16" s="601"/>
      <c r="J16" s="602"/>
    </row>
    <row r="17" spans="1:10" s="442" customFormat="1" ht="33.75" customHeight="1" thickBot="1" x14ac:dyDescent="0.25">
      <c r="A17" s="458">
        <v>1130</v>
      </c>
      <c r="B17" s="459" t="s">
        <v>947</v>
      </c>
      <c r="C17" s="460" t="s">
        <v>946</v>
      </c>
      <c r="D17" s="461">
        <v>0.03</v>
      </c>
      <c r="E17" s="462">
        <f>$E$4*D17</f>
        <v>174.20565720000002</v>
      </c>
      <c r="F17" s="462">
        <f>$F$4*D17</f>
        <v>183.0222498</v>
      </c>
      <c r="G17" s="462">
        <f>$G$4*D17</f>
        <v>192.31435020000001</v>
      </c>
      <c r="H17" s="462">
        <f>$H$4*D17</f>
        <v>203.76471240000001</v>
      </c>
      <c r="I17" s="463">
        <f>$I$4*D17</f>
        <v>215.32501860000002</v>
      </c>
      <c r="J17" s="464">
        <f>$J$4*D17</f>
        <v>226.15328099999999</v>
      </c>
    </row>
    <row r="18" spans="1:10" ht="13.5" thickBot="1" x14ac:dyDescent="0.25"/>
    <row r="19" spans="1:10" ht="18" customHeight="1" thickBot="1" x14ac:dyDescent="0.3">
      <c r="A19" s="600" t="s">
        <v>1047</v>
      </c>
      <c r="B19" s="601"/>
      <c r="C19" s="601"/>
      <c r="D19" s="601"/>
      <c r="E19" s="601"/>
      <c r="F19" s="601"/>
      <c r="G19" s="601"/>
      <c r="H19" s="601"/>
      <c r="I19" s="601"/>
      <c r="J19" s="602"/>
    </row>
    <row r="20" spans="1:10" ht="27.4" customHeight="1" thickBot="1" x14ac:dyDescent="0.25">
      <c r="A20" s="465" t="s">
        <v>808</v>
      </c>
      <c r="B20" s="466" t="s">
        <v>1027</v>
      </c>
      <c r="C20" s="467" t="s">
        <v>1028</v>
      </c>
      <c r="D20" s="461">
        <v>0.08</v>
      </c>
      <c r="E20" s="462">
        <f>$E$4*D20</f>
        <v>464.54841920000007</v>
      </c>
      <c r="F20" s="462">
        <f>$F$4*D20</f>
        <v>488.05933279999999</v>
      </c>
      <c r="G20" s="462">
        <f>$G$4*D20</f>
        <v>512.83826720000002</v>
      </c>
      <c r="H20" s="462">
        <f>$H$4*D20</f>
        <v>543.3725664000001</v>
      </c>
      <c r="I20" s="463">
        <f>$I$4*D20</f>
        <v>574.20004960000006</v>
      </c>
      <c r="J20" s="464">
        <f>$J$4*D20</f>
        <v>603.07541600000002</v>
      </c>
    </row>
    <row r="21" spans="1:10" x14ac:dyDescent="0.2">
      <c r="C21" s="468" t="s">
        <v>1029</v>
      </c>
    </row>
    <row r="25" spans="1:10" ht="45" hidden="1" customHeight="1" thickBot="1" x14ac:dyDescent="0.25">
      <c r="A25" s="217">
        <v>1095</v>
      </c>
      <c r="B25" s="218" t="s">
        <v>594</v>
      </c>
      <c r="C25" s="219" t="s">
        <v>948</v>
      </c>
      <c r="D25" s="220">
        <v>0.05</v>
      </c>
      <c r="E25" s="221">
        <f>$E$4*D25</f>
        <v>290.34276200000005</v>
      </c>
      <c r="F25" s="222">
        <f>$F$4*D25</f>
        <v>305.037083</v>
      </c>
      <c r="G25" s="222">
        <f>$G$4*D25</f>
        <v>320.52391700000004</v>
      </c>
      <c r="H25" s="223">
        <f>$H$4*D25</f>
        <v>339.60785400000009</v>
      </c>
      <c r="I25" s="222">
        <f>$I$4*D25</f>
        <v>358.87503100000004</v>
      </c>
      <c r="J25" s="224">
        <f>$J$4*D25</f>
        <v>376.92213500000003</v>
      </c>
    </row>
    <row r="26" spans="1:10" ht="26.25" hidden="1" customHeight="1" x14ac:dyDescent="0.2">
      <c r="A26" s="79"/>
      <c r="B26" s="198"/>
      <c r="C26" s="603" t="s">
        <v>949</v>
      </c>
      <c r="D26" s="603"/>
      <c r="E26" s="603"/>
      <c r="F26" s="603"/>
      <c r="G26" s="603"/>
      <c r="H26" s="603"/>
      <c r="I26" s="603"/>
      <c r="J26" s="603"/>
    </row>
  </sheetData>
  <customSheetViews>
    <customSheetView guid="{03674138-A9FA-46A6-AB09-A74C70852C0D}" showPageBreaks="1" fitToPage="1" printArea="1" hiddenRows="1" state="hidden" view="pageLayout">
      <pageMargins left="0.25" right="0.25" top="1" bottom="1" header="0.5" footer="0.25"/>
      <printOptions horizontalCentered="1"/>
      <pageSetup scale="80" orientation="portrait" r:id="rId1"/>
      <headerFooter alignWithMargins="0">
        <oddHeader>&amp;C&amp;14 2014
 City of Bellevue Pay Plans
Fire Prevention Officers</oddHeader>
        <oddFooter>&amp;C&amp;"Arial,Bold"&amp;16&amp;A</oddFooter>
      </headerFooter>
    </customSheetView>
    <customSheetView guid="{6140C585-A678-4296-91B8-0C17DF653D09}" showPageBreaks="1" fitToPage="1" printArea="1" hiddenRows="1" view="pageLayout">
      <pageMargins left="0.25" right="0.25" top="1" bottom="1" header="0.5" footer="0.25"/>
      <printOptions horizontalCentered="1"/>
      <pageSetup scale="82" orientation="portrait" r:id="rId2"/>
      <headerFooter alignWithMargins="0">
        <oddHeader>&amp;C&amp;14 2014
 City of Bellevue Pay Plans
Fire Prevention Officers</oddHeader>
        <oddFooter>&amp;C&amp;"Arial,Bold"&amp;16&amp;A</oddFooter>
      </headerFooter>
    </customSheetView>
    <customSheetView guid="{49073133-97C6-4E81-BEFE-D9E658C173F7}" showPageBreaks="1" fitToPage="1" printArea="1" hiddenRows="1" view="pageLayout">
      <pageMargins left="0.25" right="0.25" top="1" bottom="1" header="0.5" footer="0.25"/>
      <printOptions horizontalCentered="1"/>
      <pageSetup scale="82" orientation="portrait" r:id="rId3"/>
      <headerFooter alignWithMargins="0">
        <oddHeader>&amp;C&amp;14 2014
 City of Bellevue Pay Plans
Fire Prevention Officers</oddHeader>
        <oddFooter>&amp;C&amp;"Arial,Bold"&amp;16&amp;A</oddFooter>
      </headerFooter>
    </customSheetView>
  </customSheetViews>
  <mergeCells count="10">
    <mergeCell ref="A11:J11"/>
    <mergeCell ref="A16:J16"/>
    <mergeCell ref="C26:J26"/>
    <mergeCell ref="E2:J2"/>
    <mergeCell ref="A2:A4"/>
    <mergeCell ref="B2:B4"/>
    <mergeCell ref="C2:C4"/>
    <mergeCell ref="D2:D4"/>
    <mergeCell ref="A6:J6"/>
    <mergeCell ref="A19:J19"/>
  </mergeCells>
  <phoneticPr fontId="7" type="noConversion"/>
  <printOptions horizontalCentered="1"/>
  <pageMargins left="0.25" right="0.25" top="1" bottom="1" header="0.5" footer="0.25"/>
  <pageSetup scale="82" orientation="portrait" r:id="rId4"/>
  <headerFooter alignWithMargins="0">
    <oddHeader>&amp;C&amp;14 2017
 City of Bellevue Pay Plans
Fire Prevention Officers</oddHeader>
    <oddFooter>&amp;C&amp;"Arial,Bold"&amp;16&amp;A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N9"/>
  <sheetViews>
    <sheetView view="pageLayout" zoomScaleNormal="100" workbookViewId="0">
      <selection sqref="A1:A2"/>
    </sheetView>
  </sheetViews>
  <sheetFormatPr defaultColWidth="9.140625" defaultRowHeight="12.75" x14ac:dyDescent="0.2"/>
  <cols>
    <col min="1" max="1" width="7.7109375" style="273" customWidth="1"/>
    <col min="2" max="2" width="2.7109375" style="273" customWidth="1"/>
    <col min="3" max="3" width="8.28515625" style="273" customWidth="1"/>
    <col min="4" max="4" width="35.7109375" style="246" customWidth="1"/>
    <col min="5" max="7" width="11.7109375" style="317" customWidth="1"/>
    <col min="8" max="8" width="11.5703125" style="246" bestFit="1" customWidth="1"/>
    <col min="9" max="10" width="9.140625" style="246"/>
    <col min="11" max="11" width="14.140625" style="246" bestFit="1" customWidth="1"/>
    <col min="12" max="16384" width="9.140625" style="246"/>
  </cols>
  <sheetData>
    <row r="1" spans="1:14" s="261" customFormat="1" x14ac:dyDescent="0.2">
      <c r="A1" s="563" t="s">
        <v>559</v>
      </c>
      <c r="B1" s="565"/>
      <c r="C1" s="565" t="s">
        <v>0</v>
      </c>
      <c r="D1" s="565" t="s">
        <v>1</v>
      </c>
      <c r="E1" s="586"/>
      <c r="F1" s="586"/>
      <c r="G1" s="586" t="s">
        <v>382</v>
      </c>
      <c r="H1" s="399">
        <v>2016</v>
      </c>
      <c r="J1" s="261" t="s">
        <v>1002</v>
      </c>
      <c r="K1" s="370">
        <v>1.0109999999999999</v>
      </c>
      <c r="L1" s="309"/>
      <c r="M1" s="309"/>
    </row>
    <row r="2" spans="1:14" s="264" customFormat="1" x14ac:dyDescent="0.2">
      <c r="A2" s="564"/>
      <c r="B2" s="564"/>
      <c r="C2" s="564"/>
      <c r="D2" s="566"/>
      <c r="E2" s="587"/>
      <c r="F2" s="587"/>
      <c r="G2" s="587"/>
      <c r="H2" s="398"/>
      <c r="K2" s="379"/>
      <c r="L2" s="247" t="s">
        <v>466</v>
      </c>
      <c r="M2" s="247" t="s">
        <v>467</v>
      </c>
      <c r="N2" s="264" t="s">
        <v>382</v>
      </c>
    </row>
    <row r="3" spans="1:14" x14ac:dyDescent="0.2">
      <c r="A3" s="249" t="s">
        <v>83</v>
      </c>
      <c r="B3" s="249" t="s">
        <v>88</v>
      </c>
      <c r="C3" s="266" t="s">
        <v>360</v>
      </c>
      <c r="D3" s="253" t="s">
        <v>950</v>
      </c>
      <c r="E3" s="323"/>
      <c r="F3" s="323"/>
      <c r="G3" s="323">
        <f>G4/12</f>
        <v>10712.894694685716</v>
      </c>
      <c r="H3" s="253" t="s">
        <v>10</v>
      </c>
      <c r="K3" s="312" t="s">
        <v>460</v>
      </c>
      <c r="L3" s="291" t="e">
        <f>(F3-E3)/E3</f>
        <v>#DIV/0!</v>
      </c>
      <c r="M3" s="291" t="e">
        <f>(G3-F3)/F3</f>
        <v>#DIV/0!</v>
      </c>
    </row>
    <row r="4" spans="1:14" x14ac:dyDescent="0.2">
      <c r="A4" s="249"/>
      <c r="B4" s="249"/>
      <c r="C4" s="266"/>
      <c r="D4" s="339"/>
      <c r="E4" s="257"/>
      <c r="F4" s="257"/>
      <c r="G4" s="257">
        <f>127156.020114964*$K$1</f>
        <v>128554.7363362286</v>
      </c>
      <c r="H4" s="253" t="s">
        <v>529</v>
      </c>
      <c r="K4" s="312" t="s">
        <v>461</v>
      </c>
      <c r="L4" s="291" t="e">
        <f>(G3-E3)/E3</f>
        <v>#DIV/0!</v>
      </c>
    </row>
    <row r="5" spans="1:14" x14ac:dyDescent="0.2">
      <c r="A5" s="249"/>
      <c r="B5" s="249"/>
      <c r="C5" s="249"/>
      <c r="D5" s="253"/>
      <c r="E5" s="252"/>
      <c r="F5" s="252"/>
      <c r="G5" s="252">
        <f>G4/2080</f>
        <v>61.805161700109906</v>
      </c>
      <c r="H5" s="253" t="s">
        <v>11</v>
      </c>
    </row>
    <row r="6" spans="1:14" x14ac:dyDescent="0.2">
      <c r="A6" s="249"/>
      <c r="B6" s="249"/>
      <c r="C6" s="249"/>
      <c r="D6" s="253"/>
      <c r="E6" s="257"/>
      <c r="F6" s="257"/>
      <c r="G6" s="257">
        <f>G4/2505.36</f>
        <v>51.311881859784059</v>
      </c>
      <c r="H6" s="253" t="s">
        <v>56</v>
      </c>
    </row>
    <row r="7" spans="1:14" ht="35.1" customHeight="1" x14ac:dyDescent="0.25">
      <c r="A7" s="374"/>
      <c r="B7" s="249"/>
      <c r="C7" s="249"/>
      <c r="D7" s="253" t="s">
        <v>1065</v>
      </c>
      <c r="E7" s="257"/>
      <c r="F7" s="257"/>
      <c r="G7" s="257"/>
      <c r="H7" s="253"/>
    </row>
    <row r="8" spans="1:14" x14ac:dyDescent="0.2">
      <c r="A8" s="249"/>
      <c r="B8" s="249"/>
      <c r="C8" s="249"/>
      <c r="D8" s="253"/>
      <c r="E8" s="257"/>
      <c r="F8" s="257"/>
      <c r="G8" s="257"/>
      <c r="H8" s="253"/>
    </row>
    <row r="9" spans="1:14" ht="15.75" x14ac:dyDescent="0.25">
      <c r="A9" s="374"/>
      <c r="B9" s="249"/>
      <c r="C9" s="249"/>
      <c r="D9" s="253"/>
      <c r="E9" s="257"/>
      <c r="F9" s="257"/>
      <c r="G9" s="257"/>
      <c r="H9" s="253"/>
    </row>
  </sheetData>
  <customSheetViews>
    <customSheetView guid="{03674138-A9FA-46A6-AB09-A74C70852C0D}" showPageBreaks="1" printArea="1" view="pageLayout">
      <selection activeCell="F18" sqref="F18"/>
      <pageMargins left="0.25" right="0.25" top="1.93" bottom="1" header="0.5" footer="0.5"/>
      <printOptions horizontalCentered="1" gridLines="1"/>
      <pageSetup orientation="portrait" r:id="rId1"/>
      <headerFooter alignWithMargins="0">
        <oddHeader>&amp;L&amp;"Times New Roman,Regular"Ordinance # (budget adoption)
Resoulution #8784 (contract adoption)&amp;C&amp;"Times New Roman,Bold"&amp;16ATTACHMENT I
2016 CITY OF BELLEVUE PAY PLANS
INTERNATIONAL ASSOC OF FIREFIGHTERS UNION, LOCAL #1604
FIRE BATTALION CHIEFS</oddHeader>
        <oddFooter>&amp;L&amp;"Times New Roman,Regular"* Position is exempt from overtime.&amp;C&amp;"Times New Roman,Bold"&amp;16&amp;A</oddFooter>
      </headerFooter>
    </customSheetView>
    <customSheetView guid="{6140C585-A678-4296-91B8-0C17DF653D09}" showPageBreaks="1" printArea="1" view="pageLayout">
      <selection sqref="A1:A2"/>
      <pageMargins left="0.25" right="0.25" top="1.93" bottom="1" header="0.5" footer="0.5"/>
      <printOptions horizontalCentered="1" gridLines="1"/>
      <pageSetup orientation="portrait" r:id="rId2"/>
      <headerFooter alignWithMargins="0">
        <oddHeader>&amp;LOrdinance # (budget adoption)
Resoulution #8784 (contract adoption)&amp;C&amp;"Arial,Bold"&amp;16
2016 CITY OF BELLEVUE PAY PLANS
&amp;14INTERNATIONAL ASSOCIATION OF FIREFIGHTERS UNION, LOCAL #1604&amp;16
&amp;14FIRE BATTALION CHIEFS</oddHeader>
        <oddFooter>&amp;L* Position is exempt from overtime.&amp;C&amp;"Arial,Bold"&amp;16&amp;A&amp;REffective 01/01/16
System Update 01/xx/16</oddFooter>
      </headerFooter>
    </customSheetView>
    <customSheetView guid="{49073133-97C6-4E81-BEFE-D9E658C173F7}" showPageBreaks="1" printArea="1" view="pageLayout">
      <selection sqref="A1:A2"/>
      <pageMargins left="0.25" right="0.25" top="1.93" bottom="1" header="0.5" footer="0.5"/>
      <printOptions horizontalCentered="1" gridLines="1"/>
      <pageSetup orientation="portrait" r:id="rId3"/>
      <headerFooter alignWithMargins="0">
        <oddHeader>&amp;LOrdinance # (budget adoption)
Resoulution #8784 (contract adoption)&amp;C&amp;"Arial,Bold"&amp;16
2016 CITY OF BELLEVUE PAY PLANS
&amp;14INTERNATIONAL ASSOCIATION OF FIREFIGHTERS UNION, LOCAL #1604&amp;16
&amp;14FIRE BATTALION CHIEFS</oddHeader>
        <oddFooter>&amp;L* Position is exempt from overtime.&amp;C&amp;"Arial,Bold"&amp;16&amp;A&amp;REffective 01/01/16
System Update 01/xx/16</oddFooter>
      </headerFooter>
    </customSheetView>
  </customSheetViews>
  <mergeCells count="7">
    <mergeCell ref="F1:F2"/>
    <mergeCell ref="G1:G2"/>
    <mergeCell ref="A1:A2"/>
    <mergeCell ref="C1:C2"/>
    <mergeCell ref="D1:D2"/>
    <mergeCell ref="E1:E2"/>
    <mergeCell ref="B1:B2"/>
  </mergeCells>
  <phoneticPr fontId="7" type="noConversion"/>
  <printOptions horizontalCentered="1" gridLines="1"/>
  <pageMargins left="0.25" right="0.25" top="1.93" bottom="1" header="0.5" footer="0.5"/>
  <pageSetup orientation="portrait" r:id="rId4"/>
  <headerFooter alignWithMargins="0">
    <oddHeader>&amp;LOrdinance #6333 (pay plan adoption)
Resoulution #8784 (contract adoption)&amp;C&amp;"Arial,Bold"&amp;16
2016 CITY OF BELLEVUE PAY PLANS
&amp;14INTERNATIONAL ASSOCIATION OF FIREFIGHTERS UNION, LOCAL #1604&amp;16
&amp;14FIRE BATTALION CHIEFS</oddHeader>
    <oddFooter>&amp;L* Position is exempt from overtime.&amp;C&amp;"Arial,Bold"&amp;16&amp;A&amp;REffective 01/01/16
System Update 01/11/16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G12"/>
  <sheetViews>
    <sheetView workbookViewId="0">
      <selection activeCell="A3" sqref="A3"/>
    </sheetView>
  </sheetViews>
  <sheetFormatPr defaultColWidth="11.42578125" defaultRowHeight="12.75" x14ac:dyDescent="0.2"/>
  <cols>
    <col min="1" max="1" width="9.7109375" style="22" customWidth="1"/>
    <col min="2" max="2" width="17.7109375" style="7" customWidth="1"/>
    <col min="3" max="3" width="44" style="7" bestFit="1" customWidth="1"/>
    <col min="4" max="4" width="8.7109375" style="23" customWidth="1"/>
    <col min="5" max="5" width="1.7109375" style="7" customWidth="1"/>
    <col min="6" max="16384" width="11.42578125" style="7"/>
  </cols>
  <sheetData>
    <row r="1" spans="1:7" ht="20.100000000000001" customHeight="1" x14ac:dyDescent="0.2">
      <c r="A1" s="614" t="s">
        <v>1005</v>
      </c>
      <c r="B1" s="614"/>
      <c r="C1" s="614"/>
      <c r="D1" s="614"/>
      <c r="E1" s="34"/>
    </row>
    <row r="2" spans="1:7" ht="13.5" thickBot="1" x14ac:dyDescent="0.25">
      <c r="B2" s="615"/>
      <c r="C2" s="615"/>
    </row>
    <row r="3" spans="1:7" s="134" customFormat="1" ht="39" thickBot="1" x14ac:dyDescent="0.25">
      <c r="A3" s="228" t="s">
        <v>469</v>
      </c>
      <c r="B3" s="228" t="s">
        <v>470</v>
      </c>
      <c r="C3" s="228" t="s">
        <v>471</v>
      </c>
      <c r="D3" s="116" t="s">
        <v>473</v>
      </c>
      <c r="E3" s="199"/>
      <c r="F3" s="199"/>
      <c r="G3" s="199"/>
    </row>
    <row r="4" spans="1:7" s="134" customFormat="1" ht="18" customHeight="1" x14ac:dyDescent="0.2">
      <c r="A4" s="234">
        <v>1103</v>
      </c>
      <c r="B4" s="235" t="s">
        <v>926</v>
      </c>
      <c r="C4" s="232" t="s">
        <v>884</v>
      </c>
      <c r="D4" s="236">
        <v>0.06</v>
      </c>
    </row>
    <row r="5" spans="1:7" s="134" customFormat="1" ht="18" customHeight="1" x14ac:dyDescent="0.2">
      <c r="A5" s="234">
        <v>1104</v>
      </c>
      <c r="B5" s="237" t="s">
        <v>927</v>
      </c>
      <c r="C5" s="232" t="s">
        <v>885</v>
      </c>
      <c r="D5" s="236">
        <v>7.0000000000000007E-2</v>
      </c>
    </row>
    <row r="6" spans="1:7" s="134" customFormat="1" ht="18" customHeight="1" x14ac:dyDescent="0.2">
      <c r="A6" s="237">
        <v>1100</v>
      </c>
      <c r="B6" s="237" t="s">
        <v>928</v>
      </c>
      <c r="C6" s="232" t="s">
        <v>886</v>
      </c>
      <c r="D6" s="236">
        <v>0.09</v>
      </c>
    </row>
    <row r="7" spans="1:7" s="134" customFormat="1" ht="18" customHeight="1" x14ac:dyDescent="0.2">
      <c r="A7" s="237">
        <v>1101</v>
      </c>
      <c r="B7" s="237" t="s">
        <v>983</v>
      </c>
      <c r="C7" s="232" t="s">
        <v>887</v>
      </c>
      <c r="D7" s="236">
        <v>0.105</v>
      </c>
    </row>
    <row r="8" spans="1:7" s="134" customFormat="1" ht="18" customHeight="1" x14ac:dyDescent="0.2">
      <c r="A8" s="237">
        <v>1115</v>
      </c>
      <c r="B8" s="237" t="s">
        <v>982</v>
      </c>
      <c r="C8" s="233" t="s">
        <v>984</v>
      </c>
      <c r="D8" s="236">
        <v>0.12</v>
      </c>
    </row>
    <row r="9" spans="1:7" s="134" customFormat="1" ht="13.5" thickBot="1" x14ac:dyDescent="0.25">
      <c r="A9" s="227"/>
      <c r="B9" s="229"/>
      <c r="C9" s="230"/>
      <c r="D9" s="231"/>
    </row>
    <row r="10" spans="1:7" ht="24.75" customHeight="1" x14ac:dyDescent="0.2">
      <c r="A10" s="616"/>
      <c r="B10" s="616"/>
      <c r="C10" s="616"/>
      <c r="D10" s="616"/>
      <c r="E10" s="134"/>
      <c r="F10" s="134"/>
    </row>
    <row r="11" spans="1:7" ht="16.5" customHeight="1" x14ac:dyDescent="0.2">
      <c r="A11" s="617"/>
      <c r="B11" s="617"/>
      <c r="C11" s="617"/>
      <c r="D11" s="617"/>
      <c r="E11" s="134"/>
      <c r="F11" s="134"/>
    </row>
    <row r="12" spans="1:7" ht="15.75" x14ac:dyDescent="0.25">
      <c r="A12" s="78"/>
      <c r="B12" s="134"/>
      <c r="C12" s="134"/>
      <c r="D12" s="152"/>
      <c r="E12" s="134"/>
      <c r="F12" s="134"/>
    </row>
  </sheetData>
  <customSheetViews>
    <customSheetView guid="{03674138-A9FA-46A6-AB09-A74C70852C0D}" showPageBreaks="1" printArea="1" state="hidden">
      <selection activeCell="A3" sqref="A3"/>
      <pageMargins left="0.25" right="0.25" top="1" bottom="1" header="0.5" footer="0.25"/>
      <printOptions horizontalCentered="1"/>
      <pageSetup fitToHeight="4" orientation="portrait" r:id="rId1"/>
      <headerFooter alignWithMargins="0">
        <oddFooter>&amp;C&amp;"Arial,Bold"&amp;16&amp;A</oddFooter>
      </headerFooter>
    </customSheetView>
    <customSheetView guid="{6140C585-A678-4296-91B8-0C17DF653D09}">
      <selection activeCell="A3" sqref="A3"/>
      <pageMargins left="0.25" right="0.25" top="1" bottom="1" header="0.5" footer="0.25"/>
      <printOptions horizontalCentered="1"/>
      <pageSetup fitToHeight="4" orientation="portrait" r:id="rId2"/>
      <headerFooter alignWithMargins="0">
        <oddFooter>&amp;C&amp;"Arial,Bold"&amp;16&amp;A</oddFooter>
      </headerFooter>
    </customSheetView>
    <customSheetView guid="{49073133-97C6-4E81-BEFE-D9E658C173F7}" showPageBreaks="1" printArea="1">
      <selection activeCell="A3" sqref="A3"/>
      <pageMargins left="0.25" right="0.25" top="1" bottom="1" header="0.5" footer="0.25"/>
      <printOptions horizontalCentered="1"/>
      <pageSetup fitToHeight="4" orientation="portrait" r:id="rId3"/>
      <headerFooter alignWithMargins="0">
        <oddFooter>&amp;C&amp;"Arial,Bold"&amp;16&amp;A</oddFooter>
      </headerFooter>
    </customSheetView>
  </customSheetViews>
  <mergeCells count="3">
    <mergeCell ref="A1:D1"/>
    <mergeCell ref="B2:C2"/>
    <mergeCell ref="A10:D11"/>
  </mergeCells>
  <phoneticPr fontId="7" type="noConversion"/>
  <hyperlinks>
    <hyperlink ref="B8" r:id="rId4"/>
    <hyperlink ref="B6" r:id="rId5"/>
    <hyperlink ref="B7" r:id="rId6"/>
  </hyperlinks>
  <printOptions horizontalCentered="1"/>
  <pageMargins left="0.25" right="0.25" top="1" bottom="1" header="0.5" footer="0.25"/>
  <pageSetup fitToHeight="4" orientation="portrait" r:id="rId7"/>
  <headerFooter alignWithMargins="0">
    <oddFooter>&amp;C&amp;"Arial,Bold"&amp;16&amp;A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V203"/>
  <sheetViews>
    <sheetView view="pageLayout" zoomScaleNormal="100" workbookViewId="0">
      <selection sqref="A1:A2"/>
    </sheetView>
  </sheetViews>
  <sheetFormatPr defaultRowHeight="12.75" x14ac:dyDescent="0.2"/>
  <cols>
    <col min="1" max="1" width="5" customWidth="1"/>
    <col min="2" max="2" width="8.28515625" customWidth="1"/>
    <col min="3" max="3" width="27.140625" bestFit="1" customWidth="1"/>
    <col min="4" max="4" width="11.28515625" bestFit="1" customWidth="1"/>
    <col min="5" max="9" width="10.28515625" bestFit="1" customWidth="1"/>
    <col min="10" max="10" width="9.85546875" bestFit="1" customWidth="1"/>
  </cols>
  <sheetData>
    <row r="1" spans="1:22" x14ac:dyDescent="0.2">
      <c r="A1" s="540" t="s">
        <v>559</v>
      </c>
      <c r="B1" s="542" t="s">
        <v>0</v>
      </c>
      <c r="C1" s="542" t="s">
        <v>1</v>
      </c>
      <c r="D1" s="544" t="s">
        <v>2</v>
      </c>
      <c r="E1" s="544"/>
      <c r="F1" s="544"/>
      <c r="G1" s="544"/>
      <c r="H1" s="544"/>
      <c r="I1" s="544"/>
      <c r="J1" s="243">
        <v>2017</v>
      </c>
      <c r="K1" s="244" t="s">
        <v>1060</v>
      </c>
      <c r="L1" s="504">
        <v>1.018</v>
      </c>
      <c r="M1" s="246"/>
      <c r="N1" s="246"/>
      <c r="O1" s="246"/>
      <c r="P1" s="246"/>
      <c r="Q1" s="246"/>
      <c r="R1" s="246"/>
      <c r="S1" s="246"/>
      <c r="T1" s="246"/>
      <c r="U1" s="246"/>
      <c r="V1" s="246"/>
    </row>
    <row r="2" spans="1:22" x14ac:dyDescent="0.2">
      <c r="A2" s="541"/>
      <c r="B2" s="541"/>
      <c r="C2" s="543"/>
      <c r="D2" s="247">
        <v>1</v>
      </c>
      <c r="E2" s="247">
        <v>2</v>
      </c>
      <c r="F2" s="247">
        <v>3</v>
      </c>
      <c r="G2" s="247">
        <v>4</v>
      </c>
      <c r="H2" s="247">
        <v>5</v>
      </c>
      <c r="I2" s="247">
        <v>6</v>
      </c>
      <c r="J2" s="248"/>
      <c r="K2" s="244"/>
      <c r="L2" s="245"/>
      <c r="M2" s="246"/>
      <c r="N2" s="246"/>
      <c r="O2" s="246"/>
      <c r="P2" s="246"/>
      <c r="Q2" s="246"/>
      <c r="R2" s="246"/>
      <c r="S2" s="246"/>
      <c r="T2" s="246"/>
      <c r="U2" s="246"/>
      <c r="V2" s="246"/>
    </row>
    <row r="3" spans="1:22" s="3" customFormat="1" x14ac:dyDescent="0.2">
      <c r="A3" s="249" t="s">
        <v>654</v>
      </c>
      <c r="B3" s="250" t="s">
        <v>655</v>
      </c>
      <c r="C3" s="251" t="s">
        <v>656</v>
      </c>
      <c r="D3" s="252">
        <f>14.3*$L$1</f>
        <v>14.557400000000001</v>
      </c>
      <c r="E3" s="252">
        <f>15.24*L1</f>
        <v>15.51432</v>
      </c>
      <c r="F3" s="252">
        <f>16.26*L1</f>
        <v>16.552680000000002</v>
      </c>
      <c r="G3" s="252">
        <f>17.35*L1</f>
        <v>17.662300000000002</v>
      </c>
      <c r="H3" s="252">
        <f>18.49*L1</f>
        <v>18.82282</v>
      </c>
      <c r="I3" s="252">
        <f>19.74*L1</f>
        <v>20.095319999999997</v>
      </c>
      <c r="J3" s="249" t="s">
        <v>11</v>
      </c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</row>
    <row r="4" spans="1:22" s="3" customFormat="1" x14ac:dyDescent="0.2">
      <c r="A4" s="249"/>
      <c r="B4" s="249" t="s">
        <v>657</v>
      </c>
      <c r="C4" s="251" t="s">
        <v>658</v>
      </c>
      <c r="D4" s="254"/>
      <c r="E4" s="254"/>
      <c r="F4" s="254"/>
      <c r="G4" s="254"/>
      <c r="H4" s="254"/>
      <c r="I4" s="254"/>
      <c r="J4" s="255"/>
      <c r="K4" s="253"/>
      <c r="L4" s="256"/>
      <c r="M4" s="253"/>
      <c r="N4" s="253"/>
      <c r="O4" s="253"/>
      <c r="P4" s="253"/>
      <c r="Q4" s="253"/>
      <c r="R4" s="253"/>
      <c r="S4" s="253"/>
      <c r="T4" s="253"/>
      <c r="U4" s="253"/>
      <c r="V4" s="253"/>
    </row>
    <row r="5" spans="1:22" s="3" customFormat="1" x14ac:dyDescent="0.2">
      <c r="A5" s="249"/>
      <c r="B5" s="249"/>
      <c r="C5" s="253"/>
      <c r="D5" s="257"/>
      <c r="E5" s="257"/>
      <c r="F5" s="257"/>
      <c r="G5" s="257"/>
      <c r="H5" s="257"/>
      <c r="I5" s="257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</row>
    <row r="6" spans="1:22" s="3" customFormat="1" x14ac:dyDescent="0.2">
      <c r="A6" s="249" t="s">
        <v>659</v>
      </c>
      <c r="B6" s="250" t="s">
        <v>660</v>
      </c>
      <c r="C6" s="251" t="s">
        <v>661</v>
      </c>
      <c r="D6" s="252">
        <f>17.43*L1</f>
        <v>17.743739999999999</v>
      </c>
      <c r="E6" s="252">
        <f>18.6*L1</f>
        <v>18.934800000000003</v>
      </c>
      <c r="F6" s="252">
        <f>19.84*L1</f>
        <v>20.197120000000002</v>
      </c>
      <c r="G6" s="252">
        <f>21.16*L1</f>
        <v>21.540880000000001</v>
      </c>
      <c r="H6" s="252">
        <f>22.56*L1</f>
        <v>22.966079999999998</v>
      </c>
      <c r="I6" s="252">
        <f>24.07*L1</f>
        <v>24.503260000000001</v>
      </c>
      <c r="J6" s="249" t="s">
        <v>11</v>
      </c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</row>
    <row r="7" spans="1:22" s="3" customFormat="1" x14ac:dyDescent="0.2">
      <c r="A7" s="249"/>
      <c r="B7" s="249" t="s">
        <v>662</v>
      </c>
      <c r="C7" s="251" t="s">
        <v>663</v>
      </c>
      <c r="D7" s="254"/>
      <c r="E7" s="254"/>
      <c r="F7" s="254"/>
      <c r="G7" s="254"/>
      <c r="H7" s="254"/>
      <c r="I7" s="254"/>
      <c r="J7" s="255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</row>
    <row r="8" spans="1:22" s="3" customFormat="1" x14ac:dyDescent="0.2">
      <c r="A8" s="249"/>
      <c r="B8" s="249"/>
      <c r="C8" s="253"/>
      <c r="D8" s="257"/>
      <c r="E8" s="257"/>
      <c r="F8" s="257"/>
      <c r="G8" s="257"/>
      <c r="H8" s="257"/>
      <c r="I8" s="257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</row>
    <row r="9" spans="1:22" s="3" customFormat="1" x14ac:dyDescent="0.2">
      <c r="A9" s="249"/>
      <c r="B9" s="249"/>
      <c r="C9" s="253"/>
      <c r="D9" s="258"/>
      <c r="E9" s="258"/>
      <c r="F9" s="258"/>
      <c r="G9" s="258"/>
      <c r="H9" s="258"/>
      <c r="I9" s="258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</row>
    <row r="10" spans="1:22" s="3" customFormat="1" x14ac:dyDescent="0.2">
      <c r="A10" s="249"/>
      <c r="B10" s="259" t="s">
        <v>664</v>
      </c>
      <c r="C10" s="253" t="s">
        <v>665</v>
      </c>
      <c r="D10" s="258"/>
      <c r="E10" s="258"/>
      <c r="F10" s="258"/>
      <c r="G10" s="258"/>
      <c r="H10" s="258"/>
      <c r="I10" s="258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</row>
    <row r="11" spans="1:22" s="3" customFormat="1" x14ac:dyDescent="0.2">
      <c r="A11" s="249"/>
      <c r="B11" s="259" t="s">
        <v>666</v>
      </c>
      <c r="C11" s="251" t="s">
        <v>667</v>
      </c>
      <c r="D11" s="258"/>
      <c r="E11" s="258"/>
      <c r="F11" s="258"/>
      <c r="G11" s="258"/>
      <c r="H11" s="258"/>
      <c r="I11" s="258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</row>
    <row r="12" spans="1:22" s="3" customFormat="1" x14ac:dyDescent="0.2">
      <c r="A12" s="253"/>
      <c r="B12" s="253"/>
      <c r="C12" s="253"/>
      <c r="D12" s="252"/>
      <c r="E12" s="252"/>
      <c r="F12" s="252"/>
      <c r="G12" s="252"/>
      <c r="H12" s="252"/>
      <c r="I12" s="252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</row>
    <row r="13" spans="1:22" s="3" customFormat="1" ht="20.25" x14ac:dyDescent="0.3">
      <c r="A13" s="260"/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</row>
    <row r="14" spans="1:22" s="3" customFormat="1" x14ac:dyDescent="0.2">
      <c r="A14" s="253"/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</row>
    <row r="15" spans="1:22" x14ac:dyDescent="0.2">
      <c r="A15" s="246"/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</row>
    <row r="16" spans="1:22" x14ac:dyDescent="0.2">
      <c r="A16" s="246"/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</row>
    <row r="17" spans="1:22" x14ac:dyDescent="0.2">
      <c r="A17" s="246"/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</row>
    <row r="18" spans="1:22" x14ac:dyDescent="0.2">
      <c r="A18" s="246"/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</row>
    <row r="19" spans="1:22" x14ac:dyDescent="0.2">
      <c r="A19" s="246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</row>
    <row r="20" spans="1:22" x14ac:dyDescent="0.2">
      <c r="A20" s="246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</row>
    <row r="21" spans="1:22" x14ac:dyDescent="0.2">
      <c r="A21" s="246"/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</row>
    <row r="22" spans="1:22" x14ac:dyDescent="0.2">
      <c r="A22" s="246"/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</row>
    <row r="23" spans="1:22" x14ac:dyDescent="0.2">
      <c r="A23" s="246"/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</row>
    <row r="24" spans="1:22" x14ac:dyDescent="0.2">
      <c r="A24" s="246"/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</row>
    <row r="25" spans="1:22" x14ac:dyDescent="0.2">
      <c r="A25" s="246"/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</row>
    <row r="26" spans="1:22" x14ac:dyDescent="0.2">
      <c r="A26" s="246"/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</row>
    <row r="27" spans="1:22" x14ac:dyDescent="0.2">
      <c r="A27" s="246"/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</row>
    <row r="28" spans="1:22" x14ac:dyDescent="0.2">
      <c r="A28" s="246"/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</row>
    <row r="29" spans="1:22" x14ac:dyDescent="0.2">
      <c r="A29" s="246"/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</row>
    <row r="30" spans="1:22" x14ac:dyDescent="0.2">
      <c r="A30" s="246"/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</row>
    <row r="31" spans="1:22" x14ac:dyDescent="0.2">
      <c r="A31" s="246"/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</row>
    <row r="32" spans="1:22" x14ac:dyDescent="0.2">
      <c r="A32" s="246"/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</row>
    <row r="33" spans="1:22" x14ac:dyDescent="0.2">
      <c r="A33" s="246"/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</row>
    <row r="34" spans="1:22" x14ac:dyDescent="0.2">
      <c r="A34" s="246"/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</row>
    <row r="35" spans="1:22" x14ac:dyDescent="0.2">
      <c r="A35" s="246"/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</row>
    <row r="36" spans="1:22" x14ac:dyDescent="0.2">
      <c r="A36" s="246"/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</row>
    <row r="37" spans="1:22" x14ac:dyDescent="0.2">
      <c r="A37" s="246"/>
      <c r="B37" s="246"/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6"/>
    </row>
    <row r="38" spans="1:22" x14ac:dyDescent="0.2">
      <c r="A38" s="246"/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</row>
    <row r="39" spans="1:22" x14ac:dyDescent="0.2">
      <c r="A39" s="246"/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6"/>
    </row>
    <row r="40" spans="1:22" x14ac:dyDescent="0.2">
      <c r="A40" s="246"/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</row>
    <row r="41" spans="1:22" x14ac:dyDescent="0.2">
      <c r="A41" s="246"/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</row>
    <row r="42" spans="1:22" x14ac:dyDescent="0.2">
      <c r="A42" s="246"/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</row>
    <row r="43" spans="1:22" x14ac:dyDescent="0.2">
      <c r="A43" s="246"/>
      <c r="B43" s="246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</row>
    <row r="44" spans="1:22" x14ac:dyDescent="0.2">
      <c r="A44" s="246"/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</row>
    <row r="45" spans="1:22" x14ac:dyDescent="0.2">
      <c r="A45" s="246"/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</row>
    <row r="46" spans="1:22" x14ac:dyDescent="0.2">
      <c r="A46" s="246"/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</row>
    <row r="47" spans="1:22" x14ac:dyDescent="0.2">
      <c r="A47" s="246"/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</row>
    <row r="48" spans="1:22" x14ac:dyDescent="0.2">
      <c r="A48" s="246"/>
      <c r="B48" s="246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</row>
    <row r="49" spans="1:22" x14ac:dyDescent="0.2">
      <c r="A49" s="246"/>
      <c r="B49" s="246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6"/>
      <c r="V49" s="246"/>
    </row>
    <row r="50" spans="1:22" x14ac:dyDescent="0.2">
      <c r="A50" s="246"/>
      <c r="B50" s="246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</row>
    <row r="51" spans="1:22" x14ac:dyDescent="0.2">
      <c r="A51" s="246"/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246"/>
      <c r="U51" s="246"/>
      <c r="V51" s="246"/>
    </row>
    <row r="52" spans="1:22" x14ac:dyDescent="0.2">
      <c r="A52" s="246"/>
      <c r="B52" s="246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</row>
    <row r="53" spans="1:22" x14ac:dyDescent="0.2">
      <c r="A53" s="246"/>
      <c r="B53" s="246"/>
      <c r="C53" s="246"/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</row>
    <row r="54" spans="1:22" x14ac:dyDescent="0.2">
      <c r="A54" s="246"/>
      <c r="B54" s="246"/>
      <c r="C54" s="246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/>
    </row>
    <row r="55" spans="1:22" x14ac:dyDescent="0.2">
      <c r="A55" s="246"/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</row>
    <row r="56" spans="1:22" x14ac:dyDescent="0.2">
      <c r="A56" s="246"/>
      <c r="B56" s="246"/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6"/>
    </row>
    <row r="57" spans="1:22" x14ac:dyDescent="0.2">
      <c r="A57" s="246"/>
      <c r="B57" s="246"/>
      <c r="C57" s="246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246"/>
      <c r="S57" s="246"/>
      <c r="T57" s="246"/>
      <c r="U57" s="246"/>
      <c r="V57" s="246"/>
    </row>
    <row r="58" spans="1:22" x14ac:dyDescent="0.2">
      <c r="A58" s="246"/>
      <c r="B58" s="246"/>
      <c r="C58" s="246"/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</row>
    <row r="59" spans="1:22" x14ac:dyDescent="0.2">
      <c r="A59" s="246"/>
      <c r="B59" s="246"/>
      <c r="C59" s="246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  <c r="R59" s="246"/>
      <c r="S59" s="246"/>
      <c r="T59" s="246"/>
      <c r="U59" s="246"/>
      <c r="V59" s="246"/>
    </row>
    <row r="60" spans="1:22" x14ac:dyDescent="0.2">
      <c r="A60" s="246"/>
      <c r="B60" s="246"/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  <c r="V60" s="246"/>
    </row>
    <row r="61" spans="1:22" x14ac:dyDescent="0.2">
      <c r="A61" s="246"/>
      <c r="B61" s="246"/>
      <c r="C61" s="246"/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  <c r="R61" s="246"/>
      <c r="S61" s="246"/>
      <c r="T61" s="246"/>
      <c r="U61" s="246"/>
      <c r="V61" s="246"/>
    </row>
    <row r="62" spans="1:22" x14ac:dyDescent="0.2">
      <c r="A62" s="246"/>
      <c r="B62" s="246"/>
      <c r="C62" s="246"/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  <c r="R62" s="246"/>
      <c r="S62" s="246"/>
      <c r="T62" s="246"/>
      <c r="U62" s="246"/>
      <c r="V62" s="246"/>
    </row>
    <row r="63" spans="1:22" x14ac:dyDescent="0.2">
      <c r="A63" s="246"/>
      <c r="B63" s="246"/>
      <c r="C63" s="246"/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  <c r="R63" s="246"/>
      <c r="S63" s="246"/>
      <c r="T63" s="246"/>
      <c r="U63" s="246"/>
      <c r="V63" s="246"/>
    </row>
    <row r="64" spans="1:22" x14ac:dyDescent="0.2">
      <c r="A64" s="246"/>
      <c r="B64" s="246"/>
      <c r="C64" s="246"/>
      <c r="D64" s="246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  <c r="R64" s="246"/>
      <c r="S64" s="246"/>
      <c r="T64" s="246"/>
      <c r="U64" s="246"/>
      <c r="V64" s="246"/>
    </row>
    <row r="65" spans="1:22" x14ac:dyDescent="0.2">
      <c r="A65" s="246"/>
      <c r="B65" s="246"/>
      <c r="C65" s="246"/>
      <c r="D65" s="246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  <c r="R65" s="246"/>
      <c r="S65" s="246"/>
      <c r="T65" s="246"/>
      <c r="U65" s="246"/>
      <c r="V65" s="246"/>
    </row>
    <row r="66" spans="1:22" x14ac:dyDescent="0.2">
      <c r="A66" s="246"/>
      <c r="B66" s="246"/>
      <c r="C66" s="246"/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  <c r="R66" s="246"/>
      <c r="S66" s="246"/>
      <c r="T66" s="246"/>
      <c r="U66" s="246"/>
      <c r="V66" s="246"/>
    </row>
    <row r="67" spans="1:22" x14ac:dyDescent="0.2">
      <c r="A67" s="246"/>
      <c r="B67" s="246"/>
      <c r="C67" s="246"/>
      <c r="D67" s="246"/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6"/>
      <c r="R67" s="246"/>
      <c r="S67" s="246"/>
      <c r="T67" s="246"/>
      <c r="U67" s="246"/>
      <c r="V67" s="246"/>
    </row>
    <row r="68" spans="1:22" x14ac:dyDescent="0.2">
      <c r="A68" s="246"/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  <c r="S68" s="246"/>
      <c r="T68" s="246"/>
      <c r="U68" s="246"/>
      <c r="V68" s="246"/>
    </row>
    <row r="69" spans="1:22" x14ac:dyDescent="0.2">
      <c r="A69" s="246"/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  <c r="R69" s="246"/>
      <c r="S69" s="246"/>
      <c r="T69" s="246"/>
      <c r="U69" s="246"/>
      <c r="V69" s="246"/>
    </row>
    <row r="70" spans="1:22" x14ac:dyDescent="0.2">
      <c r="A70" s="246"/>
      <c r="B70" s="246"/>
      <c r="C70" s="246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  <c r="R70" s="246"/>
      <c r="S70" s="246"/>
      <c r="T70" s="246"/>
      <c r="U70" s="246"/>
      <c r="V70" s="246"/>
    </row>
    <row r="71" spans="1:22" x14ac:dyDescent="0.2">
      <c r="A71" s="246"/>
      <c r="B71" s="246"/>
      <c r="C71" s="246"/>
      <c r="D71" s="246"/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  <c r="R71" s="246"/>
      <c r="S71" s="246"/>
      <c r="T71" s="246"/>
      <c r="U71" s="246"/>
      <c r="V71" s="246"/>
    </row>
    <row r="72" spans="1:22" x14ac:dyDescent="0.2">
      <c r="A72" s="246"/>
      <c r="B72" s="246"/>
      <c r="C72" s="246"/>
      <c r="D72" s="246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  <c r="R72" s="246"/>
      <c r="S72" s="246"/>
      <c r="T72" s="246"/>
      <c r="U72" s="246"/>
      <c r="V72" s="246"/>
    </row>
    <row r="73" spans="1:22" x14ac:dyDescent="0.2">
      <c r="A73" s="246"/>
      <c r="B73" s="246"/>
      <c r="C73" s="246"/>
      <c r="D73" s="246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  <c r="R73" s="246"/>
      <c r="S73" s="246"/>
      <c r="T73" s="246"/>
      <c r="U73" s="246"/>
      <c r="V73" s="246"/>
    </row>
    <row r="74" spans="1:22" x14ac:dyDescent="0.2">
      <c r="A74" s="246"/>
      <c r="B74" s="246"/>
      <c r="C74" s="246"/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  <c r="S74" s="246"/>
      <c r="T74" s="246"/>
      <c r="U74" s="246"/>
      <c r="V74" s="246"/>
    </row>
    <row r="75" spans="1:22" x14ac:dyDescent="0.2">
      <c r="A75" s="246"/>
      <c r="B75" s="246"/>
      <c r="C75" s="246"/>
      <c r="D75" s="246"/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  <c r="R75" s="246"/>
      <c r="S75" s="246"/>
      <c r="T75" s="246"/>
      <c r="U75" s="246"/>
      <c r="V75" s="246"/>
    </row>
    <row r="76" spans="1:22" x14ac:dyDescent="0.2">
      <c r="A76" s="246"/>
      <c r="B76" s="246"/>
      <c r="C76" s="246"/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  <c r="R76" s="246"/>
      <c r="S76" s="246"/>
      <c r="T76" s="246"/>
      <c r="U76" s="246"/>
      <c r="V76" s="246"/>
    </row>
    <row r="77" spans="1:22" x14ac:dyDescent="0.2">
      <c r="A77" s="246"/>
      <c r="B77" s="246"/>
      <c r="C77" s="246"/>
      <c r="D77" s="246"/>
      <c r="E77" s="246"/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  <c r="R77" s="246"/>
      <c r="S77" s="246"/>
      <c r="T77" s="246"/>
      <c r="U77" s="246"/>
      <c r="V77" s="246"/>
    </row>
    <row r="78" spans="1:22" x14ac:dyDescent="0.2">
      <c r="A78" s="246"/>
      <c r="B78" s="246"/>
      <c r="C78" s="246"/>
      <c r="D78" s="246"/>
      <c r="E78" s="246"/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  <c r="R78" s="246"/>
      <c r="S78" s="246"/>
      <c r="T78" s="246"/>
      <c r="U78" s="246"/>
      <c r="V78" s="246"/>
    </row>
    <row r="79" spans="1:22" x14ac:dyDescent="0.2">
      <c r="A79" s="246"/>
      <c r="B79" s="246"/>
      <c r="C79" s="246"/>
      <c r="D79" s="246"/>
      <c r="E79" s="246"/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  <c r="R79" s="246"/>
      <c r="S79" s="246"/>
      <c r="T79" s="246"/>
      <c r="U79" s="246"/>
      <c r="V79" s="246"/>
    </row>
    <row r="80" spans="1:22" x14ac:dyDescent="0.2">
      <c r="A80" s="246"/>
      <c r="B80" s="246"/>
      <c r="C80" s="246"/>
      <c r="D80" s="246"/>
      <c r="E80" s="246"/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  <c r="R80" s="246"/>
      <c r="S80" s="246"/>
      <c r="T80" s="246"/>
      <c r="U80" s="246"/>
      <c r="V80" s="246"/>
    </row>
    <row r="81" spans="1:22" x14ac:dyDescent="0.2">
      <c r="A81" s="246"/>
      <c r="B81" s="246"/>
      <c r="C81" s="246"/>
      <c r="D81" s="246"/>
      <c r="E81" s="246"/>
      <c r="F81" s="246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6"/>
      <c r="R81" s="246"/>
      <c r="S81" s="246"/>
      <c r="T81" s="246"/>
      <c r="U81" s="246"/>
      <c r="V81" s="246"/>
    </row>
    <row r="82" spans="1:22" x14ac:dyDescent="0.2">
      <c r="A82" s="246"/>
      <c r="B82" s="246"/>
      <c r="C82" s="246"/>
      <c r="D82" s="246"/>
      <c r="E82" s="246"/>
      <c r="F82" s="246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  <c r="R82" s="246"/>
      <c r="S82" s="246"/>
      <c r="T82" s="246"/>
      <c r="U82" s="246"/>
      <c r="V82" s="246"/>
    </row>
    <row r="83" spans="1:22" x14ac:dyDescent="0.2">
      <c r="A83" s="246"/>
      <c r="B83" s="246"/>
      <c r="C83" s="246"/>
      <c r="D83" s="246"/>
      <c r="E83" s="246"/>
      <c r="F83" s="246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  <c r="R83" s="246"/>
      <c r="S83" s="246"/>
      <c r="T83" s="246"/>
      <c r="U83" s="246"/>
      <c r="V83" s="246"/>
    </row>
    <row r="84" spans="1:22" x14ac:dyDescent="0.2">
      <c r="A84" s="246"/>
      <c r="B84" s="246"/>
      <c r="C84" s="246"/>
      <c r="D84" s="246"/>
      <c r="E84" s="246"/>
      <c r="F84" s="246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  <c r="R84" s="246"/>
      <c r="S84" s="246"/>
      <c r="T84" s="246"/>
      <c r="U84" s="246"/>
      <c r="V84" s="246"/>
    </row>
    <row r="85" spans="1:22" x14ac:dyDescent="0.2">
      <c r="A85" s="246"/>
      <c r="B85" s="246"/>
      <c r="C85" s="246"/>
      <c r="D85" s="246"/>
      <c r="E85" s="246"/>
      <c r="F85" s="246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  <c r="R85" s="246"/>
      <c r="S85" s="246"/>
      <c r="T85" s="246"/>
      <c r="U85" s="246"/>
      <c r="V85" s="246"/>
    </row>
    <row r="86" spans="1:22" x14ac:dyDescent="0.2">
      <c r="A86" s="246"/>
      <c r="B86" s="246"/>
      <c r="C86" s="246"/>
      <c r="D86" s="246"/>
      <c r="E86" s="246"/>
      <c r="F86" s="246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  <c r="R86" s="246"/>
      <c r="S86" s="246"/>
      <c r="T86" s="246"/>
      <c r="U86" s="246"/>
      <c r="V86" s="246"/>
    </row>
    <row r="87" spans="1:22" x14ac:dyDescent="0.2">
      <c r="A87" s="246"/>
      <c r="B87" s="246"/>
      <c r="C87" s="246"/>
      <c r="D87" s="246"/>
      <c r="E87" s="246"/>
      <c r="F87" s="246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6"/>
      <c r="R87" s="246"/>
      <c r="S87" s="246"/>
      <c r="T87" s="246"/>
      <c r="U87" s="246"/>
      <c r="V87" s="246"/>
    </row>
    <row r="88" spans="1:22" x14ac:dyDescent="0.2">
      <c r="A88" s="246"/>
      <c r="B88" s="246"/>
      <c r="C88" s="246"/>
      <c r="D88" s="246"/>
      <c r="E88" s="246"/>
      <c r="F88" s="246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  <c r="R88" s="246"/>
      <c r="S88" s="246"/>
      <c r="T88" s="246"/>
      <c r="U88" s="246"/>
      <c r="V88" s="246"/>
    </row>
    <row r="89" spans="1:22" x14ac:dyDescent="0.2">
      <c r="A89" s="246"/>
      <c r="B89" s="246"/>
      <c r="C89" s="246"/>
      <c r="D89" s="246"/>
      <c r="E89" s="246"/>
      <c r="F89" s="246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246"/>
      <c r="R89" s="246"/>
      <c r="S89" s="246"/>
      <c r="T89" s="246"/>
      <c r="U89" s="246"/>
      <c r="V89" s="246"/>
    </row>
    <row r="90" spans="1:22" x14ac:dyDescent="0.2">
      <c r="A90" s="246"/>
      <c r="B90" s="246"/>
      <c r="C90" s="246"/>
      <c r="D90" s="246"/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  <c r="R90" s="246"/>
      <c r="S90" s="246"/>
      <c r="T90" s="246"/>
      <c r="U90" s="246"/>
      <c r="V90" s="246"/>
    </row>
    <row r="91" spans="1:22" x14ac:dyDescent="0.2">
      <c r="A91" s="246"/>
      <c r="B91" s="246"/>
      <c r="C91" s="246"/>
      <c r="D91" s="246"/>
      <c r="E91" s="246"/>
      <c r="F91" s="246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6"/>
      <c r="R91" s="246"/>
      <c r="S91" s="246"/>
      <c r="T91" s="246"/>
      <c r="U91" s="246"/>
      <c r="V91" s="246"/>
    </row>
    <row r="92" spans="1:22" x14ac:dyDescent="0.2">
      <c r="A92" s="246"/>
      <c r="B92" s="246"/>
      <c r="C92" s="246"/>
      <c r="D92" s="246"/>
      <c r="E92" s="246"/>
      <c r="F92" s="246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246"/>
      <c r="R92" s="246"/>
      <c r="S92" s="246"/>
      <c r="T92" s="246"/>
      <c r="U92" s="246"/>
      <c r="V92" s="246"/>
    </row>
    <row r="93" spans="1:22" x14ac:dyDescent="0.2">
      <c r="A93" s="246"/>
      <c r="B93" s="246"/>
      <c r="C93" s="246"/>
      <c r="D93" s="246"/>
      <c r="E93" s="246"/>
      <c r="F93" s="246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  <c r="R93" s="246"/>
      <c r="S93" s="246"/>
      <c r="T93" s="246"/>
      <c r="U93" s="246"/>
      <c r="V93" s="246"/>
    </row>
    <row r="94" spans="1:22" x14ac:dyDescent="0.2">
      <c r="A94" s="246"/>
      <c r="B94" s="246"/>
      <c r="C94" s="246"/>
      <c r="D94" s="246"/>
      <c r="E94" s="246"/>
      <c r="F94" s="246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  <c r="R94" s="246"/>
      <c r="S94" s="246"/>
      <c r="T94" s="246"/>
      <c r="U94" s="246"/>
      <c r="V94" s="246"/>
    </row>
    <row r="95" spans="1:22" x14ac:dyDescent="0.2">
      <c r="A95" s="246"/>
      <c r="B95" s="246"/>
      <c r="C95" s="246"/>
      <c r="D95" s="246"/>
      <c r="E95" s="246"/>
      <c r="F95" s="246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  <c r="R95" s="246"/>
      <c r="S95" s="246"/>
      <c r="T95" s="246"/>
      <c r="U95" s="246"/>
      <c r="V95" s="246"/>
    </row>
    <row r="96" spans="1:22" x14ac:dyDescent="0.2">
      <c r="A96" s="246"/>
      <c r="B96" s="246"/>
      <c r="C96" s="246"/>
      <c r="D96" s="246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6"/>
      <c r="P96" s="246"/>
      <c r="Q96" s="246"/>
      <c r="R96" s="246"/>
      <c r="S96" s="246"/>
      <c r="T96" s="246"/>
      <c r="U96" s="246"/>
      <c r="V96" s="246"/>
    </row>
    <row r="97" spans="1:22" x14ac:dyDescent="0.2">
      <c r="A97" s="246"/>
      <c r="B97" s="246"/>
      <c r="C97" s="246"/>
      <c r="D97" s="246"/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  <c r="R97" s="246"/>
      <c r="S97" s="246"/>
      <c r="T97" s="246"/>
      <c r="U97" s="246"/>
      <c r="V97" s="246"/>
    </row>
    <row r="98" spans="1:22" x14ac:dyDescent="0.2">
      <c r="A98" s="246"/>
      <c r="B98" s="246"/>
      <c r="C98" s="246"/>
      <c r="D98" s="246"/>
      <c r="E98" s="246"/>
      <c r="F98" s="246"/>
      <c r="G98" s="246"/>
      <c r="H98" s="246"/>
      <c r="I98" s="246"/>
      <c r="J98" s="246"/>
      <c r="K98" s="246"/>
      <c r="L98" s="246"/>
      <c r="M98" s="246"/>
      <c r="N98" s="246"/>
      <c r="O98" s="246"/>
      <c r="P98" s="246"/>
      <c r="Q98" s="246"/>
      <c r="R98" s="246"/>
      <c r="S98" s="246"/>
      <c r="T98" s="246"/>
      <c r="U98" s="246"/>
      <c r="V98" s="246"/>
    </row>
    <row r="99" spans="1:22" x14ac:dyDescent="0.2">
      <c r="A99" s="246"/>
      <c r="B99" s="246"/>
      <c r="C99" s="246"/>
      <c r="D99" s="246"/>
      <c r="E99" s="246"/>
      <c r="F99" s="246"/>
      <c r="G99" s="246"/>
      <c r="H99" s="246"/>
      <c r="I99" s="246"/>
      <c r="J99" s="246"/>
      <c r="K99" s="246"/>
      <c r="L99" s="246"/>
      <c r="M99" s="246"/>
      <c r="N99" s="246"/>
      <c r="O99" s="246"/>
      <c r="P99" s="246"/>
      <c r="Q99" s="246"/>
      <c r="R99" s="246"/>
      <c r="S99" s="246"/>
      <c r="T99" s="246"/>
      <c r="U99" s="246"/>
      <c r="V99" s="246"/>
    </row>
    <row r="100" spans="1:22" x14ac:dyDescent="0.2">
      <c r="A100" s="246"/>
      <c r="B100" s="246"/>
      <c r="C100" s="246"/>
      <c r="D100" s="246"/>
      <c r="E100" s="246"/>
      <c r="F100" s="246"/>
      <c r="G100" s="246"/>
      <c r="H100" s="246"/>
      <c r="I100" s="246"/>
      <c r="J100" s="246"/>
      <c r="K100" s="246"/>
      <c r="L100" s="246"/>
      <c r="M100" s="246"/>
      <c r="N100" s="246"/>
      <c r="O100" s="246"/>
      <c r="P100" s="246"/>
      <c r="Q100" s="246"/>
      <c r="R100" s="246"/>
      <c r="S100" s="246"/>
      <c r="T100" s="246"/>
      <c r="U100" s="246"/>
      <c r="V100" s="246"/>
    </row>
    <row r="101" spans="1:22" x14ac:dyDescent="0.2">
      <c r="A101" s="246"/>
      <c r="B101" s="246"/>
      <c r="C101" s="246"/>
      <c r="D101" s="246"/>
      <c r="E101" s="246"/>
      <c r="F101" s="246"/>
      <c r="G101" s="246"/>
      <c r="H101" s="246"/>
      <c r="I101" s="246"/>
      <c r="J101" s="246"/>
      <c r="K101" s="246"/>
      <c r="L101" s="246"/>
      <c r="M101" s="246"/>
      <c r="N101" s="246"/>
      <c r="O101" s="246"/>
      <c r="P101" s="246"/>
      <c r="Q101" s="246"/>
      <c r="R101" s="246"/>
      <c r="S101" s="246"/>
      <c r="T101" s="246"/>
      <c r="U101" s="246"/>
      <c r="V101" s="246"/>
    </row>
    <row r="102" spans="1:22" x14ac:dyDescent="0.2">
      <c r="A102" s="246"/>
      <c r="B102" s="246"/>
      <c r="C102" s="246"/>
      <c r="D102" s="246"/>
      <c r="E102" s="246"/>
      <c r="F102" s="246"/>
      <c r="G102" s="246"/>
      <c r="H102" s="246"/>
      <c r="I102" s="246"/>
      <c r="J102" s="246"/>
      <c r="K102" s="246"/>
      <c r="L102" s="246"/>
      <c r="M102" s="246"/>
      <c r="N102" s="246"/>
      <c r="O102" s="246"/>
      <c r="P102" s="246"/>
      <c r="Q102" s="246"/>
      <c r="R102" s="246"/>
      <c r="S102" s="246"/>
      <c r="T102" s="246"/>
      <c r="U102" s="246"/>
      <c r="V102" s="246"/>
    </row>
    <row r="103" spans="1:22" x14ac:dyDescent="0.2">
      <c r="A103" s="246"/>
      <c r="B103" s="246"/>
      <c r="C103" s="246"/>
      <c r="D103" s="246"/>
      <c r="E103" s="246"/>
      <c r="F103" s="246"/>
      <c r="G103" s="246"/>
      <c r="H103" s="246"/>
      <c r="I103" s="246"/>
      <c r="J103" s="246"/>
      <c r="K103" s="246"/>
      <c r="L103" s="246"/>
      <c r="M103" s="246"/>
      <c r="N103" s="246"/>
      <c r="O103" s="246"/>
      <c r="P103" s="246"/>
      <c r="Q103" s="246"/>
      <c r="R103" s="246"/>
      <c r="S103" s="246"/>
      <c r="T103" s="246"/>
      <c r="U103" s="246"/>
      <c r="V103" s="246"/>
    </row>
    <row r="104" spans="1:22" x14ac:dyDescent="0.2">
      <c r="A104" s="246"/>
      <c r="B104" s="246"/>
      <c r="C104" s="246"/>
      <c r="D104" s="246"/>
      <c r="E104" s="246"/>
      <c r="F104" s="246"/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  <c r="R104" s="246"/>
      <c r="S104" s="246"/>
      <c r="T104" s="246"/>
      <c r="U104" s="246"/>
      <c r="V104" s="246"/>
    </row>
    <row r="105" spans="1:22" x14ac:dyDescent="0.2">
      <c r="A105" s="246"/>
      <c r="B105" s="246"/>
      <c r="C105" s="246"/>
      <c r="D105" s="246"/>
      <c r="E105" s="246"/>
      <c r="F105" s="246"/>
      <c r="G105" s="246"/>
      <c r="H105" s="246"/>
      <c r="I105" s="246"/>
      <c r="J105" s="246"/>
      <c r="K105" s="246"/>
      <c r="L105" s="246"/>
      <c r="M105" s="246"/>
      <c r="N105" s="246"/>
      <c r="O105" s="246"/>
      <c r="P105" s="246"/>
      <c r="Q105" s="246"/>
      <c r="R105" s="246"/>
      <c r="S105" s="246"/>
      <c r="T105" s="246"/>
      <c r="U105" s="246"/>
      <c r="V105" s="246"/>
    </row>
    <row r="106" spans="1:22" x14ac:dyDescent="0.2">
      <c r="A106" s="246"/>
      <c r="B106" s="246"/>
      <c r="C106" s="246"/>
      <c r="D106" s="246"/>
      <c r="E106" s="246"/>
      <c r="F106" s="246"/>
      <c r="G106" s="246"/>
      <c r="H106" s="246"/>
      <c r="I106" s="246"/>
      <c r="J106" s="246"/>
      <c r="K106" s="246"/>
      <c r="L106" s="246"/>
      <c r="M106" s="246"/>
      <c r="N106" s="246"/>
      <c r="O106" s="246"/>
      <c r="P106" s="246"/>
      <c r="Q106" s="246"/>
      <c r="R106" s="246"/>
      <c r="S106" s="246"/>
      <c r="T106" s="246"/>
      <c r="U106" s="246"/>
      <c r="V106" s="246"/>
    </row>
    <row r="107" spans="1:22" x14ac:dyDescent="0.2">
      <c r="A107" s="246"/>
      <c r="B107" s="246"/>
      <c r="C107" s="246"/>
      <c r="D107" s="246"/>
      <c r="E107" s="246"/>
      <c r="F107" s="246"/>
      <c r="G107" s="246"/>
      <c r="H107" s="246"/>
      <c r="I107" s="246"/>
      <c r="J107" s="246"/>
      <c r="K107" s="246"/>
      <c r="L107" s="246"/>
      <c r="M107" s="246"/>
      <c r="N107" s="246"/>
      <c r="O107" s="246"/>
      <c r="P107" s="246"/>
      <c r="Q107" s="246"/>
      <c r="R107" s="246"/>
      <c r="S107" s="246"/>
      <c r="T107" s="246"/>
      <c r="U107" s="246"/>
      <c r="V107" s="246"/>
    </row>
    <row r="108" spans="1:22" x14ac:dyDescent="0.2">
      <c r="A108" s="246"/>
      <c r="B108" s="246"/>
      <c r="C108" s="246"/>
      <c r="D108" s="246"/>
      <c r="E108" s="246"/>
      <c r="F108" s="246"/>
      <c r="G108" s="246"/>
      <c r="H108" s="246"/>
      <c r="I108" s="246"/>
      <c r="J108" s="246"/>
      <c r="K108" s="246"/>
      <c r="L108" s="246"/>
      <c r="M108" s="246"/>
      <c r="N108" s="246"/>
      <c r="O108" s="246"/>
      <c r="P108" s="246"/>
      <c r="Q108" s="246"/>
      <c r="R108" s="246"/>
      <c r="S108" s="246"/>
      <c r="T108" s="246"/>
      <c r="U108" s="246"/>
      <c r="V108" s="246"/>
    </row>
    <row r="109" spans="1:22" x14ac:dyDescent="0.2">
      <c r="A109" s="246"/>
      <c r="B109" s="246"/>
      <c r="C109" s="246"/>
      <c r="D109" s="246"/>
      <c r="E109" s="246"/>
      <c r="F109" s="246"/>
      <c r="G109" s="246"/>
      <c r="H109" s="246"/>
      <c r="I109" s="246"/>
      <c r="J109" s="246"/>
      <c r="K109" s="246"/>
      <c r="L109" s="246"/>
      <c r="M109" s="246"/>
      <c r="N109" s="246"/>
      <c r="O109" s="246"/>
      <c r="P109" s="246"/>
      <c r="Q109" s="246"/>
      <c r="R109" s="246"/>
      <c r="S109" s="246"/>
      <c r="T109" s="246"/>
      <c r="U109" s="246"/>
      <c r="V109" s="246"/>
    </row>
    <row r="110" spans="1:22" x14ac:dyDescent="0.2">
      <c r="A110" s="246"/>
      <c r="B110" s="246"/>
      <c r="C110" s="246"/>
      <c r="D110" s="246"/>
      <c r="E110" s="246"/>
      <c r="F110" s="246"/>
      <c r="G110" s="246"/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  <c r="R110" s="246"/>
      <c r="S110" s="246"/>
      <c r="T110" s="246"/>
      <c r="U110" s="246"/>
      <c r="V110" s="246"/>
    </row>
    <row r="111" spans="1:22" x14ac:dyDescent="0.2">
      <c r="A111" s="246"/>
      <c r="B111" s="246"/>
      <c r="C111" s="246"/>
      <c r="D111" s="246"/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  <c r="R111" s="246"/>
      <c r="S111" s="246"/>
      <c r="T111" s="246"/>
      <c r="U111" s="246"/>
      <c r="V111" s="246"/>
    </row>
    <row r="112" spans="1:22" x14ac:dyDescent="0.2">
      <c r="A112" s="246"/>
      <c r="B112" s="246"/>
      <c r="C112" s="246"/>
      <c r="D112" s="246"/>
      <c r="E112" s="246"/>
      <c r="F112" s="246"/>
      <c r="G112" s="246"/>
      <c r="H112" s="246"/>
      <c r="I112" s="246"/>
      <c r="J112" s="246"/>
      <c r="K112" s="246"/>
      <c r="L112" s="246"/>
      <c r="M112" s="246"/>
      <c r="N112" s="246"/>
      <c r="O112" s="246"/>
      <c r="P112" s="246"/>
      <c r="Q112" s="246"/>
      <c r="R112" s="246"/>
      <c r="S112" s="246"/>
      <c r="T112" s="246"/>
      <c r="U112" s="246"/>
      <c r="V112" s="246"/>
    </row>
    <row r="113" spans="1:22" x14ac:dyDescent="0.2">
      <c r="A113" s="246"/>
      <c r="B113" s="246"/>
      <c r="C113" s="246"/>
      <c r="D113" s="246"/>
      <c r="E113" s="246"/>
      <c r="F113" s="246"/>
      <c r="G113" s="246"/>
      <c r="H113" s="246"/>
      <c r="I113" s="246"/>
      <c r="J113" s="246"/>
      <c r="K113" s="246"/>
      <c r="L113" s="246"/>
      <c r="M113" s="246"/>
      <c r="N113" s="246"/>
      <c r="O113" s="246"/>
      <c r="P113" s="246"/>
      <c r="Q113" s="246"/>
      <c r="R113" s="246"/>
      <c r="S113" s="246"/>
      <c r="T113" s="246"/>
      <c r="U113" s="246"/>
      <c r="V113" s="246"/>
    </row>
    <row r="114" spans="1:22" x14ac:dyDescent="0.2">
      <c r="A114" s="246"/>
      <c r="B114" s="246"/>
      <c r="C114" s="246"/>
      <c r="D114" s="246"/>
      <c r="E114" s="246"/>
      <c r="F114" s="246"/>
      <c r="G114" s="246"/>
      <c r="H114" s="246"/>
      <c r="I114" s="246"/>
      <c r="J114" s="246"/>
      <c r="K114" s="246"/>
      <c r="L114" s="246"/>
      <c r="M114" s="246"/>
      <c r="N114" s="246"/>
      <c r="O114" s="246"/>
      <c r="P114" s="246"/>
      <c r="Q114" s="246"/>
      <c r="R114" s="246"/>
      <c r="S114" s="246"/>
      <c r="T114" s="246"/>
      <c r="U114" s="246"/>
      <c r="V114" s="246"/>
    </row>
    <row r="115" spans="1:22" x14ac:dyDescent="0.2">
      <c r="A115" s="246"/>
      <c r="B115" s="246"/>
      <c r="C115" s="246"/>
      <c r="D115" s="246"/>
      <c r="E115" s="246"/>
      <c r="F115" s="246"/>
      <c r="G115" s="246"/>
      <c r="H115" s="246"/>
      <c r="I115" s="246"/>
      <c r="J115" s="246"/>
      <c r="K115" s="246"/>
      <c r="L115" s="246"/>
      <c r="M115" s="246"/>
      <c r="N115" s="246"/>
      <c r="O115" s="246"/>
      <c r="P115" s="246"/>
      <c r="Q115" s="246"/>
      <c r="R115" s="246"/>
      <c r="S115" s="246"/>
      <c r="T115" s="246"/>
      <c r="U115" s="246"/>
      <c r="V115" s="246"/>
    </row>
    <row r="116" spans="1:22" x14ac:dyDescent="0.2">
      <c r="A116" s="246"/>
      <c r="B116" s="246"/>
      <c r="C116" s="246"/>
      <c r="D116" s="246"/>
      <c r="E116" s="246"/>
      <c r="F116" s="246"/>
      <c r="G116" s="246"/>
      <c r="H116" s="246"/>
      <c r="I116" s="246"/>
      <c r="J116" s="246"/>
      <c r="K116" s="246"/>
      <c r="L116" s="246"/>
      <c r="M116" s="246"/>
      <c r="N116" s="246"/>
      <c r="O116" s="246"/>
      <c r="P116" s="246"/>
      <c r="Q116" s="246"/>
      <c r="R116" s="246"/>
      <c r="S116" s="246"/>
      <c r="T116" s="246"/>
      <c r="U116" s="246"/>
      <c r="V116" s="246"/>
    </row>
    <row r="117" spans="1:22" x14ac:dyDescent="0.2">
      <c r="A117" s="246"/>
      <c r="B117" s="246"/>
      <c r="C117" s="246"/>
      <c r="D117" s="246"/>
      <c r="E117" s="246"/>
      <c r="F117" s="246"/>
      <c r="G117" s="246"/>
      <c r="H117" s="246"/>
      <c r="I117" s="246"/>
      <c r="J117" s="246"/>
      <c r="K117" s="246"/>
      <c r="L117" s="246"/>
      <c r="M117" s="246"/>
      <c r="N117" s="246"/>
      <c r="O117" s="246"/>
      <c r="P117" s="246"/>
      <c r="Q117" s="246"/>
      <c r="R117" s="246"/>
      <c r="S117" s="246"/>
      <c r="T117" s="246"/>
      <c r="U117" s="246"/>
      <c r="V117" s="246"/>
    </row>
    <row r="118" spans="1:22" x14ac:dyDescent="0.2">
      <c r="A118" s="246"/>
      <c r="B118" s="246"/>
      <c r="C118" s="246"/>
      <c r="D118" s="246"/>
      <c r="E118" s="246"/>
      <c r="F118" s="246"/>
      <c r="G118" s="246"/>
      <c r="H118" s="246"/>
      <c r="I118" s="246"/>
      <c r="J118" s="246"/>
      <c r="K118" s="246"/>
      <c r="L118" s="246"/>
      <c r="M118" s="246"/>
      <c r="N118" s="246"/>
      <c r="O118" s="246"/>
      <c r="P118" s="246"/>
      <c r="Q118" s="246"/>
      <c r="R118" s="246"/>
      <c r="S118" s="246"/>
      <c r="T118" s="246"/>
      <c r="U118" s="246"/>
      <c r="V118" s="246"/>
    </row>
    <row r="119" spans="1:22" x14ac:dyDescent="0.2">
      <c r="A119" s="246"/>
      <c r="B119" s="246"/>
      <c r="C119" s="246"/>
      <c r="D119" s="246"/>
      <c r="E119" s="246"/>
      <c r="F119" s="246"/>
      <c r="G119" s="246"/>
      <c r="H119" s="246"/>
      <c r="I119" s="246"/>
      <c r="J119" s="246"/>
      <c r="K119" s="246"/>
      <c r="L119" s="246"/>
      <c r="M119" s="246"/>
      <c r="N119" s="246"/>
      <c r="O119" s="246"/>
      <c r="P119" s="246"/>
      <c r="Q119" s="246"/>
      <c r="R119" s="246"/>
      <c r="S119" s="246"/>
      <c r="T119" s="246"/>
      <c r="U119" s="246"/>
      <c r="V119" s="246"/>
    </row>
    <row r="120" spans="1:22" x14ac:dyDescent="0.2">
      <c r="A120" s="246"/>
      <c r="B120" s="246"/>
      <c r="C120" s="246"/>
      <c r="D120" s="246"/>
      <c r="E120" s="246"/>
      <c r="F120" s="246"/>
      <c r="G120" s="246"/>
      <c r="H120" s="246"/>
      <c r="I120" s="246"/>
      <c r="J120" s="246"/>
      <c r="K120" s="246"/>
      <c r="L120" s="246"/>
      <c r="M120" s="246"/>
      <c r="N120" s="246"/>
      <c r="O120" s="246"/>
      <c r="P120" s="246"/>
      <c r="Q120" s="246"/>
      <c r="R120" s="246"/>
      <c r="S120" s="246"/>
      <c r="T120" s="246"/>
      <c r="U120" s="246"/>
      <c r="V120" s="246"/>
    </row>
    <row r="121" spans="1:22" x14ac:dyDescent="0.2">
      <c r="A121" s="246"/>
      <c r="B121" s="246"/>
      <c r="C121" s="246"/>
      <c r="D121" s="246"/>
      <c r="E121" s="246"/>
      <c r="F121" s="246"/>
      <c r="G121" s="246"/>
      <c r="H121" s="246"/>
      <c r="I121" s="246"/>
      <c r="J121" s="246"/>
      <c r="K121" s="246"/>
      <c r="L121" s="246"/>
      <c r="M121" s="246"/>
      <c r="N121" s="246"/>
      <c r="O121" s="246"/>
      <c r="P121" s="246"/>
      <c r="Q121" s="246"/>
      <c r="R121" s="246"/>
      <c r="S121" s="246"/>
      <c r="T121" s="246"/>
      <c r="U121" s="246"/>
      <c r="V121" s="246"/>
    </row>
    <row r="122" spans="1:22" x14ac:dyDescent="0.2">
      <c r="A122" s="246"/>
      <c r="B122" s="246"/>
      <c r="C122" s="246"/>
      <c r="D122" s="246"/>
      <c r="E122" s="246"/>
      <c r="F122" s="246"/>
      <c r="G122" s="246"/>
      <c r="H122" s="246"/>
      <c r="I122" s="246"/>
      <c r="J122" s="246"/>
      <c r="K122" s="246"/>
      <c r="L122" s="246"/>
      <c r="M122" s="246"/>
      <c r="N122" s="246"/>
      <c r="O122" s="246"/>
      <c r="P122" s="246"/>
      <c r="Q122" s="246"/>
      <c r="R122" s="246"/>
      <c r="S122" s="246"/>
      <c r="T122" s="246"/>
      <c r="U122" s="246"/>
      <c r="V122" s="246"/>
    </row>
    <row r="123" spans="1:22" x14ac:dyDescent="0.2">
      <c r="A123" s="246"/>
      <c r="B123" s="246"/>
      <c r="C123" s="246"/>
      <c r="D123" s="246"/>
      <c r="E123" s="246"/>
      <c r="F123" s="246"/>
      <c r="G123" s="246"/>
      <c r="H123" s="246"/>
      <c r="I123" s="246"/>
      <c r="J123" s="246"/>
      <c r="K123" s="246"/>
      <c r="L123" s="246"/>
      <c r="M123" s="246"/>
      <c r="N123" s="246"/>
      <c r="O123" s="246"/>
      <c r="P123" s="246"/>
      <c r="Q123" s="246"/>
      <c r="R123" s="246"/>
      <c r="S123" s="246"/>
      <c r="T123" s="246"/>
      <c r="U123" s="246"/>
      <c r="V123" s="246"/>
    </row>
    <row r="124" spans="1:22" x14ac:dyDescent="0.2">
      <c r="A124" s="246"/>
      <c r="B124" s="246"/>
      <c r="C124" s="246"/>
      <c r="D124" s="246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46"/>
      <c r="Q124" s="246"/>
      <c r="R124" s="246"/>
      <c r="S124" s="246"/>
      <c r="T124" s="246"/>
      <c r="U124" s="246"/>
      <c r="V124" s="246"/>
    </row>
    <row r="125" spans="1:22" x14ac:dyDescent="0.2">
      <c r="A125" s="246"/>
      <c r="B125" s="246"/>
      <c r="C125" s="246"/>
      <c r="D125" s="246"/>
      <c r="E125" s="246"/>
      <c r="F125" s="246"/>
      <c r="G125" s="246"/>
      <c r="H125" s="246"/>
      <c r="I125" s="246"/>
      <c r="J125" s="246"/>
      <c r="K125" s="246"/>
      <c r="L125" s="246"/>
      <c r="M125" s="246"/>
      <c r="N125" s="246"/>
      <c r="O125" s="246"/>
      <c r="P125" s="246"/>
      <c r="Q125" s="246"/>
      <c r="R125" s="246"/>
      <c r="S125" s="246"/>
      <c r="T125" s="246"/>
      <c r="U125" s="246"/>
      <c r="V125" s="246"/>
    </row>
    <row r="126" spans="1:22" x14ac:dyDescent="0.2">
      <c r="A126" s="246"/>
      <c r="B126" s="246"/>
      <c r="C126" s="246"/>
      <c r="D126" s="246"/>
      <c r="E126" s="246"/>
      <c r="F126" s="246"/>
      <c r="G126" s="246"/>
      <c r="H126" s="246"/>
      <c r="I126" s="246"/>
      <c r="J126" s="246"/>
      <c r="K126" s="246"/>
      <c r="L126" s="246"/>
      <c r="M126" s="246"/>
      <c r="N126" s="246"/>
      <c r="O126" s="246"/>
      <c r="P126" s="246"/>
      <c r="Q126" s="246"/>
      <c r="R126" s="246"/>
      <c r="S126" s="246"/>
      <c r="T126" s="246"/>
      <c r="U126" s="246"/>
      <c r="V126" s="246"/>
    </row>
    <row r="127" spans="1:22" x14ac:dyDescent="0.2">
      <c r="A127" s="246"/>
      <c r="B127" s="246"/>
      <c r="C127" s="246"/>
      <c r="D127" s="246"/>
      <c r="E127" s="246"/>
      <c r="F127" s="246"/>
      <c r="G127" s="246"/>
      <c r="H127" s="246"/>
      <c r="I127" s="246"/>
      <c r="J127" s="246"/>
      <c r="K127" s="246"/>
      <c r="L127" s="246"/>
      <c r="M127" s="246"/>
      <c r="N127" s="246"/>
      <c r="O127" s="246"/>
      <c r="P127" s="246"/>
      <c r="Q127" s="246"/>
      <c r="R127" s="246"/>
      <c r="S127" s="246"/>
      <c r="T127" s="246"/>
      <c r="U127" s="246"/>
      <c r="V127" s="246"/>
    </row>
    <row r="128" spans="1:22" x14ac:dyDescent="0.2">
      <c r="A128" s="246"/>
      <c r="B128" s="246"/>
      <c r="C128" s="246"/>
      <c r="D128" s="246"/>
      <c r="E128" s="246"/>
      <c r="F128" s="246"/>
      <c r="G128" s="246"/>
      <c r="H128" s="246"/>
      <c r="I128" s="246"/>
      <c r="J128" s="246"/>
      <c r="K128" s="246"/>
      <c r="L128" s="246"/>
      <c r="M128" s="246"/>
      <c r="N128" s="246"/>
      <c r="O128" s="246"/>
      <c r="P128" s="246"/>
      <c r="Q128" s="246"/>
      <c r="R128" s="246"/>
      <c r="S128" s="246"/>
      <c r="T128" s="246"/>
      <c r="U128" s="246"/>
      <c r="V128" s="246"/>
    </row>
    <row r="129" spans="1:22" x14ac:dyDescent="0.2">
      <c r="A129" s="246"/>
      <c r="B129" s="246"/>
      <c r="C129" s="246"/>
      <c r="D129" s="246"/>
      <c r="E129" s="246"/>
      <c r="F129" s="246"/>
      <c r="G129" s="246"/>
      <c r="H129" s="246"/>
      <c r="I129" s="246"/>
      <c r="J129" s="246"/>
      <c r="K129" s="246"/>
      <c r="L129" s="246"/>
      <c r="M129" s="246"/>
      <c r="N129" s="246"/>
      <c r="O129" s="246"/>
      <c r="P129" s="246"/>
      <c r="Q129" s="246"/>
      <c r="R129" s="246"/>
      <c r="S129" s="246"/>
      <c r="T129" s="246"/>
      <c r="U129" s="246"/>
      <c r="V129" s="246"/>
    </row>
    <row r="130" spans="1:22" x14ac:dyDescent="0.2">
      <c r="A130" s="246"/>
      <c r="B130" s="246"/>
      <c r="C130" s="246"/>
      <c r="D130" s="246"/>
      <c r="E130" s="246"/>
      <c r="F130" s="246"/>
      <c r="G130" s="246"/>
      <c r="H130" s="246"/>
      <c r="I130" s="246"/>
      <c r="J130" s="246"/>
      <c r="K130" s="246"/>
      <c r="L130" s="246"/>
      <c r="M130" s="246"/>
      <c r="N130" s="246"/>
      <c r="O130" s="246"/>
      <c r="P130" s="246"/>
      <c r="Q130" s="246"/>
      <c r="R130" s="246"/>
      <c r="S130" s="246"/>
      <c r="T130" s="246"/>
      <c r="U130" s="246"/>
      <c r="V130" s="246"/>
    </row>
    <row r="131" spans="1:22" x14ac:dyDescent="0.2">
      <c r="A131" s="246"/>
      <c r="B131" s="246"/>
      <c r="C131" s="246"/>
      <c r="D131" s="246"/>
      <c r="E131" s="246"/>
      <c r="F131" s="246"/>
      <c r="G131" s="246"/>
      <c r="H131" s="246"/>
      <c r="I131" s="246"/>
      <c r="J131" s="246"/>
      <c r="K131" s="246"/>
      <c r="L131" s="246"/>
      <c r="M131" s="246"/>
      <c r="N131" s="246"/>
      <c r="O131" s="246"/>
      <c r="P131" s="246"/>
      <c r="Q131" s="246"/>
      <c r="R131" s="246"/>
      <c r="S131" s="246"/>
      <c r="T131" s="246"/>
      <c r="U131" s="246"/>
      <c r="V131" s="246"/>
    </row>
    <row r="132" spans="1:22" x14ac:dyDescent="0.2">
      <c r="A132" s="246"/>
      <c r="B132" s="246"/>
      <c r="C132" s="246"/>
      <c r="D132" s="246"/>
      <c r="E132" s="246"/>
      <c r="F132" s="246"/>
      <c r="G132" s="246"/>
      <c r="H132" s="246"/>
      <c r="I132" s="246"/>
      <c r="J132" s="246"/>
      <c r="K132" s="246"/>
      <c r="L132" s="246"/>
      <c r="M132" s="246"/>
      <c r="N132" s="246"/>
      <c r="O132" s="246"/>
      <c r="P132" s="246"/>
      <c r="Q132" s="246"/>
      <c r="R132" s="246"/>
      <c r="S132" s="246"/>
      <c r="T132" s="246"/>
      <c r="U132" s="246"/>
      <c r="V132" s="246"/>
    </row>
    <row r="133" spans="1:22" x14ac:dyDescent="0.2">
      <c r="A133" s="246"/>
      <c r="B133" s="246"/>
      <c r="C133" s="246"/>
      <c r="D133" s="246"/>
      <c r="E133" s="246"/>
      <c r="F133" s="246"/>
      <c r="G133" s="246"/>
      <c r="H133" s="246"/>
      <c r="I133" s="246"/>
      <c r="J133" s="246"/>
      <c r="K133" s="246"/>
      <c r="L133" s="246"/>
      <c r="M133" s="246"/>
      <c r="N133" s="246"/>
      <c r="O133" s="246"/>
      <c r="P133" s="246"/>
      <c r="Q133" s="246"/>
      <c r="R133" s="246"/>
      <c r="S133" s="246"/>
      <c r="T133" s="246"/>
      <c r="U133" s="246"/>
      <c r="V133" s="246"/>
    </row>
    <row r="134" spans="1:22" x14ac:dyDescent="0.2">
      <c r="A134" s="246"/>
      <c r="B134" s="246"/>
      <c r="C134" s="246"/>
      <c r="D134" s="246"/>
      <c r="E134" s="246"/>
      <c r="F134" s="246"/>
      <c r="G134" s="246"/>
      <c r="H134" s="246"/>
      <c r="I134" s="246"/>
      <c r="J134" s="246"/>
      <c r="K134" s="246"/>
      <c r="L134" s="246"/>
      <c r="M134" s="246"/>
      <c r="N134" s="246"/>
      <c r="O134" s="246"/>
      <c r="P134" s="246"/>
      <c r="Q134" s="246"/>
      <c r="R134" s="246"/>
      <c r="S134" s="246"/>
      <c r="T134" s="246"/>
      <c r="U134" s="246"/>
      <c r="V134" s="246"/>
    </row>
    <row r="135" spans="1:22" x14ac:dyDescent="0.2">
      <c r="A135" s="246"/>
      <c r="B135" s="246"/>
      <c r="C135" s="246"/>
      <c r="D135" s="246"/>
      <c r="E135" s="246"/>
      <c r="F135" s="246"/>
      <c r="G135" s="246"/>
      <c r="H135" s="246"/>
      <c r="I135" s="246"/>
      <c r="J135" s="246"/>
      <c r="K135" s="246"/>
      <c r="L135" s="246"/>
      <c r="M135" s="246"/>
      <c r="N135" s="246"/>
      <c r="O135" s="246"/>
      <c r="P135" s="246"/>
      <c r="Q135" s="246"/>
      <c r="R135" s="246"/>
      <c r="S135" s="246"/>
      <c r="T135" s="246"/>
      <c r="U135" s="246"/>
      <c r="V135" s="246"/>
    </row>
    <row r="136" spans="1:22" x14ac:dyDescent="0.2">
      <c r="A136" s="246"/>
      <c r="B136" s="246"/>
      <c r="C136" s="246"/>
      <c r="D136" s="246"/>
      <c r="E136" s="246"/>
      <c r="F136" s="246"/>
      <c r="G136" s="246"/>
      <c r="H136" s="246"/>
      <c r="I136" s="246"/>
      <c r="J136" s="246"/>
      <c r="K136" s="246"/>
      <c r="L136" s="246"/>
      <c r="M136" s="246"/>
      <c r="N136" s="246"/>
      <c r="O136" s="246"/>
      <c r="P136" s="246"/>
      <c r="Q136" s="246"/>
      <c r="R136" s="246"/>
      <c r="S136" s="246"/>
      <c r="T136" s="246"/>
      <c r="U136" s="246"/>
      <c r="V136" s="246"/>
    </row>
    <row r="137" spans="1:22" x14ac:dyDescent="0.2">
      <c r="A137" s="246"/>
      <c r="B137" s="246"/>
      <c r="C137" s="246"/>
      <c r="D137" s="246"/>
      <c r="E137" s="246"/>
      <c r="F137" s="246"/>
      <c r="G137" s="246"/>
      <c r="H137" s="246"/>
      <c r="I137" s="246"/>
      <c r="J137" s="246"/>
      <c r="K137" s="246"/>
      <c r="L137" s="246"/>
      <c r="M137" s="246"/>
      <c r="N137" s="246"/>
      <c r="O137" s="246"/>
      <c r="P137" s="246"/>
      <c r="Q137" s="246"/>
      <c r="R137" s="246"/>
      <c r="S137" s="246"/>
      <c r="T137" s="246"/>
      <c r="U137" s="246"/>
      <c r="V137" s="246"/>
    </row>
    <row r="138" spans="1:22" x14ac:dyDescent="0.2">
      <c r="A138" s="246"/>
      <c r="B138" s="246"/>
      <c r="C138" s="246"/>
      <c r="D138" s="246"/>
      <c r="E138" s="246"/>
      <c r="F138" s="246"/>
      <c r="G138" s="246"/>
      <c r="H138" s="246"/>
      <c r="I138" s="246"/>
      <c r="J138" s="246"/>
      <c r="K138" s="246"/>
      <c r="L138" s="246"/>
      <c r="M138" s="246"/>
      <c r="N138" s="246"/>
      <c r="O138" s="246"/>
      <c r="P138" s="246"/>
      <c r="Q138" s="246"/>
      <c r="R138" s="246"/>
      <c r="S138" s="246"/>
      <c r="T138" s="246"/>
      <c r="U138" s="246"/>
      <c r="V138" s="246"/>
    </row>
    <row r="139" spans="1:22" x14ac:dyDescent="0.2">
      <c r="A139" s="246"/>
      <c r="B139" s="246"/>
      <c r="C139" s="246"/>
      <c r="D139" s="246"/>
      <c r="E139" s="246"/>
      <c r="F139" s="246"/>
      <c r="G139" s="246"/>
      <c r="H139" s="246"/>
      <c r="I139" s="246"/>
      <c r="J139" s="246"/>
      <c r="K139" s="246"/>
      <c r="L139" s="246"/>
      <c r="M139" s="246"/>
      <c r="N139" s="246"/>
      <c r="O139" s="246"/>
      <c r="P139" s="246"/>
      <c r="Q139" s="246"/>
      <c r="R139" s="246"/>
      <c r="S139" s="246"/>
      <c r="T139" s="246"/>
      <c r="U139" s="246"/>
      <c r="V139" s="246"/>
    </row>
    <row r="140" spans="1:22" x14ac:dyDescent="0.2">
      <c r="A140" s="246"/>
      <c r="B140" s="246"/>
      <c r="C140" s="246"/>
      <c r="D140" s="246"/>
      <c r="E140" s="246"/>
      <c r="F140" s="246"/>
      <c r="G140" s="246"/>
      <c r="H140" s="246"/>
      <c r="I140" s="246"/>
      <c r="J140" s="246"/>
      <c r="K140" s="246"/>
      <c r="L140" s="246"/>
      <c r="M140" s="246"/>
      <c r="N140" s="246"/>
      <c r="O140" s="246"/>
      <c r="P140" s="246"/>
      <c r="Q140" s="246"/>
      <c r="R140" s="246"/>
      <c r="S140" s="246"/>
      <c r="T140" s="246"/>
      <c r="U140" s="246"/>
      <c r="V140" s="246"/>
    </row>
    <row r="141" spans="1:22" x14ac:dyDescent="0.2">
      <c r="A141" s="246"/>
      <c r="B141" s="246"/>
      <c r="C141" s="246"/>
      <c r="D141" s="246"/>
      <c r="E141" s="246"/>
      <c r="F141" s="246"/>
      <c r="G141" s="246"/>
      <c r="H141" s="246"/>
      <c r="I141" s="246"/>
      <c r="J141" s="246"/>
      <c r="K141" s="246"/>
      <c r="L141" s="246"/>
      <c r="M141" s="246"/>
      <c r="N141" s="246"/>
      <c r="O141" s="246"/>
      <c r="P141" s="246"/>
      <c r="Q141" s="246"/>
      <c r="R141" s="246"/>
      <c r="S141" s="246"/>
      <c r="T141" s="246"/>
      <c r="U141" s="246"/>
      <c r="V141" s="246"/>
    </row>
    <row r="142" spans="1:22" x14ac:dyDescent="0.2">
      <c r="A142" s="246"/>
      <c r="B142" s="246"/>
      <c r="C142" s="246"/>
      <c r="D142" s="246"/>
      <c r="E142" s="246"/>
      <c r="F142" s="246"/>
      <c r="G142" s="246"/>
      <c r="H142" s="246"/>
      <c r="I142" s="246"/>
      <c r="J142" s="246"/>
      <c r="K142" s="246"/>
      <c r="L142" s="246"/>
      <c r="M142" s="246"/>
      <c r="N142" s="246"/>
      <c r="O142" s="246"/>
      <c r="P142" s="246"/>
      <c r="Q142" s="246"/>
      <c r="R142" s="246"/>
      <c r="S142" s="246"/>
      <c r="T142" s="246"/>
      <c r="U142" s="246"/>
      <c r="V142" s="246"/>
    </row>
    <row r="143" spans="1:22" x14ac:dyDescent="0.2">
      <c r="A143" s="246"/>
      <c r="B143" s="246"/>
      <c r="C143" s="246"/>
      <c r="D143" s="246"/>
      <c r="E143" s="246"/>
      <c r="F143" s="246"/>
      <c r="G143" s="246"/>
      <c r="H143" s="246"/>
      <c r="I143" s="246"/>
      <c r="J143" s="246"/>
      <c r="K143" s="246"/>
      <c r="L143" s="246"/>
      <c r="M143" s="246"/>
      <c r="N143" s="246"/>
      <c r="O143" s="246"/>
      <c r="P143" s="246"/>
      <c r="Q143" s="246"/>
      <c r="R143" s="246"/>
      <c r="S143" s="246"/>
      <c r="T143" s="246"/>
      <c r="U143" s="246"/>
      <c r="V143" s="246"/>
    </row>
    <row r="144" spans="1:22" x14ac:dyDescent="0.2">
      <c r="A144" s="246"/>
      <c r="B144" s="246"/>
      <c r="C144" s="246"/>
      <c r="D144" s="246"/>
      <c r="E144" s="246"/>
      <c r="F144" s="246"/>
      <c r="G144" s="246"/>
      <c r="H144" s="246"/>
      <c r="I144" s="246"/>
      <c r="J144" s="246"/>
      <c r="K144" s="246"/>
      <c r="L144" s="246"/>
      <c r="M144" s="246"/>
      <c r="N144" s="246"/>
      <c r="O144" s="246"/>
      <c r="P144" s="246"/>
      <c r="Q144" s="246"/>
      <c r="R144" s="246"/>
      <c r="S144" s="246"/>
      <c r="T144" s="246"/>
      <c r="U144" s="246"/>
      <c r="V144" s="246"/>
    </row>
    <row r="145" spans="1:22" x14ac:dyDescent="0.2">
      <c r="A145" s="246"/>
      <c r="B145" s="246"/>
      <c r="C145" s="246"/>
      <c r="D145" s="246"/>
      <c r="E145" s="246"/>
      <c r="F145" s="246"/>
      <c r="G145" s="246"/>
      <c r="H145" s="246"/>
      <c r="I145" s="246"/>
      <c r="J145" s="246"/>
      <c r="K145" s="246"/>
      <c r="L145" s="246"/>
      <c r="M145" s="246"/>
      <c r="N145" s="246"/>
      <c r="O145" s="246"/>
      <c r="P145" s="246"/>
      <c r="Q145" s="246"/>
      <c r="R145" s="246"/>
      <c r="S145" s="246"/>
      <c r="T145" s="246"/>
      <c r="U145" s="246"/>
      <c r="V145" s="246"/>
    </row>
    <row r="146" spans="1:22" x14ac:dyDescent="0.2">
      <c r="A146" s="246"/>
      <c r="B146" s="246"/>
      <c r="C146" s="246"/>
      <c r="D146" s="246"/>
      <c r="E146" s="246"/>
      <c r="F146" s="246"/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  <c r="Q146" s="246"/>
      <c r="R146" s="246"/>
      <c r="S146" s="246"/>
      <c r="T146" s="246"/>
      <c r="U146" s="246"/>
      <c r="V146" s="246"/>
    </row>
    <row r="147" spans="1:22" x14ac:dyDescent="0.2">
      <c r="A147" s="246"/>
      <c r="B147" s="246"/>
      <c r="C147" s="246"/>
      <c r="D147" s="246"/>
      <c r="E147" s="246"/>
      <c r="F147" s="246"/>
      <c r="G147" s="246"/>
      <c r="H147" s="246"/>
      <c r="I147" s="246"/>
      <c r="J147" s="246"/>
      <c r="K147" s="246"/>
      <c r="L147" s="246"/>
      <c r="M147" s="246"/>
      <c r="N147" s="246"/>
      <c r="O147" s="246"/>
      <c r="P147" s="246"/>
      <c r="Q147" s="246"/>
      <c r="R147" s="246"/>
      <c r="S147" s="246"/>
      <c r="T147" s="246"/>
      <c r="U147" s="246"/>
      <c r="V147" s="246"/>
    </row>
    <row r="148" spans="1:22" x14ac:dyDescent="0.2">
      <c r="A148" s="246"/>
      <c r="B148" s="246"/>
      <c r="C148" s="246"/>
      <c r="D148" s="246"/>
      <c r="E148" s="246"/>
      <c r="F148" s="246"/>
      <c r="G148" s="246"/>
      <c r="H148" s="246"/>
      <c r="I148" s="246"/>
      <c r="J148" s="246"/>
      <c r="K148" s="246"/>
      <c r="L148" s="246"/>
      <c r="M148" s="246"/>
      <c r="N148" s="246"/>
      <c r="O148" s="246"/>
      <c r="P148" s="246"/>
      <c r="Q148" s="246"/>
      <c r="R148" s="246"/>
      <c r="S148" s="246"/>
      <c r="T148" s="246"/>
      <c r="U148" s="246"/>
      <c r="V148" s="246"/>
    </row>
    <row r="149" spans="1:22" x14ac:dyDescent="0.2">
      <c r="A149" s="246"/>
      <c r="B149" s="246"/>
      <c r="C149" s="246"/>
      <c r="D149" s="246"/>
      <c r="E149" s="246"/>
      <c r="F149" s="246"/>
      <c r="G149" s="246"/>
      <c r="H149" s="246"/>
      <c r="I149" s="246"/>
      <c r="J149" s="246"/>
      <c r="K149" s="246"/>
      <c r="L149" s="246"/>
      <c r="M149" s="246"/>
      <c r="N149" s="246"/>
      <c r="O149" s="246"/>
      <c r="P149" s="246"/>
      <c r="Q149" s="246"/>
      <c r="R149" s="246"/>
      <c r="S149" s="246"/>
      <c r="T149" s="246"/>
      <c r="U149" s="246"/>
      <c r="V149" s="246"/>
    </row>
    <row r="150" spans="1:22" x14ac:dyDescent="0.2">
      <c r="A150" s="246"/>
      <c r="B150" s="246"/>
      <c r="C150" s="246"/>
      <c r="D150" s="246"/>
      <c r="E150" s="246"/>
      <c r="F150" s="246"/>
      <c r="G150" s="246"/>
      <c r="H150" s="246"/>
      <c r="I150" s="246"/>
      <c r="J150" s="246"/>
      <c r="K150" s="246"/>
      <c r="L150" s="246"/>
      <c r="M150" s="246"/>
      <c r="N150" s="246"/>
      <c r="O150" s="246"/>
      <c r="P150" s="246"/>
      <c r="Q150" s="246"/>
      <c r="R150" s="246"/>
      <c r="S150" s="246"/>
      <c r="T150" s="246"/>
      <c r="U150" s="246"/>
      <c r="V150" s="246"/>
    </row>
    <row r="151" spans="1:22" x14ac:dyDescent="0.2">
      <c r="A151" s="246"/>
      <c r="B151" s="246"/>
      <c r="C151" s="246"/>
      <c r="D151" s="246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</row>
    <row r="152" spans="1:22" x14ac:dyDescent="0.2">
      <c r="A152" s="246"/>
      <c r="B152" s="246"/>
      <c r="C152" s="246"/>
      <c r="D152" s="246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</row>
    <row r="153" spans="1:22" x14ac:dyDescent="0.2">
      <c r="A153" s="246"/>
      <c r="B153" s="246"/>
      <c r="C153" s="246"/>
      <c r="D153" s="246"/>
      <c r="E153" s="246"/>
      <c r="F153" s="246"/>
      <c r="G153" s="246"/>
      <c r="H153" s="246"/>
      <c r="I153" s="246"/>
      <c r="J153" s="246"/>
      <c r="K153" s="246"/>
      <c r="L153" s="246"/>
      <c r="M153" s="246"/>
      <c r="N153" s="246"/>
      <c r="O153" s="246"/>
      <c r="P153" s="246"/>
      <c r="Q153" s="246"/>
      <c r="R153" s="246"/>
      <c r="S153" s="246"/>
      <c r="T153" s="246"/>
      <c r="U153" s="246"/>
      <c r="V153" s="246"/>
    </row>
    <row r="154" spans="1:22" x14ac:dyDescent="0.2">
      <c r="A154" s="246"/>
      <c r="B154" s="246"/>
      <c r="C154" s="246"/>
      <c r="D154" s="246"/>
      <c r="E154" s="246"/>
      <c r="F154" s="246"/>
      <c r="G154" s="246"/>
      <c r="H154" s="246"/>
      <c r="I154" s="246"/>
      <c r="J154" s="246"/>
      <c r="K154" s="246"/>
      <c r="L154" s="246"/>
      <c r="M154" s="246"/>
      <c r="N154" s="246"/>
      <c r="O154" s="246"/>
      <c r="P154" s="246"/>
      <c r="Q154" s="246"/>
      <c r="R154" s="246"/>
      <c r="S154" s="246"/>
      <c r="T154" s="246"/>
      <c r="U154" s="246"/>
      <c r="V154" s="246"/>
    </row>
    <row r="155" spans="1:22" x14ac:dyDescent="0.2">
      <c r="A155" s="246"/>
      <c r="B155" s="246"/>
      <c r="C155" s="246"/>
      <c r="D155" s="246"/>
      <c r="E155" s="246"/>
      <c r="F155" s="246"/>
      <c r="G155" s="246"/>
      <c r="H155" s="246"/>
      <c r="I155" s="246"/>
      <c r="J155" s="246"/>
      <c r="K155" s="246"/>
      <c r="L155" s="246"/>
      <c r="M155" s="246"/>
      <c r="N155" s="246"/>
      <c r="O155" s="246"/>
      <c r="P155" s="246"/>
      <c r="Q155" s="246"/>
      <c r="R155" s="246"/>
      <c r="S155" s="246"/>
      <c r="T155" s="246"/>
      <c r="U155" s="246"/>
      <c r="V155" s="246"/>
    </row>
    <row r="156" spans="1:22" x14ac:dyDescent="0.2">
      <c r="A156" s="246"/>
      <c r="B156" s="246"/>
      <c r="C156" s="246"/>
      <c r="D156" s="246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</row>
    <row r="157" spans="1:22" x14ac:dyDescent="0.2">
      <c r="A157" s="246"/>
      <c r="B157" s="246"/>
      <c r="C157" s="246"/>
      <c r="D157" s="246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</row>
    <row r="158" spans="1:22" x14ac:dyDescent="0.2">
      <c r="A158" s="246"/>
      <c r="B158" s="246"/>
      <c r="C158" s="246"/>
      <c r="D158" s="246"/>
      <c r="E158" s="246"/>
      <c r="F158" s="246"/>
      <c r="G158" s="246"/>
      <c r="H158" s="246"/>
      <c r="I158" s="246"/>
      <c r="J158" s="246"/>
      <c r="K158" s="246"/>
      <c r="L158" s="246"/>
      <c r="M158" s="246"/>
      <c r="N158" s="246"/>
      <c r="O158" s="246"/>
      <c r="P158" s="246"/>
      <c r="Q158" s="246"/>
      <c r="R158" s="246"/>
      <c r="S158" s="246"/>
      <c r="T158" s="246"/>
      <c r="U158" s="246"/>
      <c r="V158" s="246"/>
    </row>
    <row r="159" spans="1:22" x14ac:dyDescent="0.2">
      <c r="A159" s="246"/>
      <c r="B159" s="246"/>
      <c r="C159" s="246"/>
      <c r="D159" s="246"/>
      <c r="E159" s="246"/>
      <c r="F159" s="246"/>
      <c r="G159" s="246"/>
      <c r="H159" s="246"/>
      <c r="I159" s="246"/>
      <c r="J159" s="246"/>
      <c r="K159" s="246"/>
      <c r="L159" s="246"/>
      <c r="M159" s="246"/>
      <c r="N159" s="246"/>
      <c r="O159" s="246"/>
      <c r="P159" s="246"/>
      <c r="Q159" s="246"/>
      <c r="R159" s="246"/>
      <c r="S159" s="246"/>
      <c r="T159" s="246"/>
      <c r="U159" s="246"/>
      <c r="V159" s="246"/>
    </row>
    <row r="160" spans="1:22" x14ac:dyDescent="0.2">
      <c r="A160" s="246"/>
      <c r="B160" s="246"/>
      <c r="C160" s="246"/>
      <c r="D160" s="246"/>
      <c r="E160" s="246"/>
      <c r="F160" s="246"/>
      <c r="G160" s="246"/>
      <c r="H160" s="246"/>
      <c r="I160" s="246"/>
      <c r="J160" s="246"/>
      <c r="K160" s="246"/>
      <c r="L160" s="246"/>
      <c r="M160" s="246"/>
      <c r="N160" s="246"/>
      <c r="O160" s="246"/>
      <c r="P160" s="246"/>
      <c r="Q160" s="246"/>
      <c r="R160" s="246"/>
      <c r="S160" s="246"/>
      <c r="T160" s="246"/>
      <c r="U160" s="246"/>
      <c r="V160" s="246"/>
    </row>
    <row r="161" spans="1:22" x14ac:dyDescent="0.2">
      <c r="A161" s="246"/>
      <c r="B161" s="246"/>
      <c r="C161" s="246"/>
      <c r="D161" s="246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</row>
    <row r="162" spans="1:22" x14ac:dyDescent="0.2">
      <c r="A162" s="246"/>
      <c r="B162" s="246"/>
      <c r="C162" s="246"/>
      <c r="D162" s="246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</row>
    <row r="163" spans="1:22" x14ac:dyDescent="0.2">
      <c r="A163" s="246"/>
      <c r="B163" s="246"/>
      <c r="C163" s="246"/>
      <c r="D163" s="246"/>
      <c r="E163" s="246"/>
      <c r="F163" s="246"/>
      <c r="G163" s="246"/>
      <c r="H163" s="246"/>
      <c r="I163" s="246"/>
      <c r="J163" s="246"/>
      <c r="K163" s="246"/>
      <c r="L163" s="246"/>
      <c r="M163" s="246"/>
      <c r="N163" s="246"/>
      <c r="O163" s="246"/>
      <c r="P163" s="246"/>
      <c r="Q163" s="246"/>
      <c r="R163" s="246"/>
      <c r="S163" s="246"/>
      <c r="T163" s="246"/>
      <c r="U163" s="246"/>
      <c r="V163" s="246"/>
    </row>
    <row r="164" spans="1:22" x14ac:dyDescent="0.2">
      <c r="A164" s="246"/>
      <c r="B164" s="246"/>
      <c r="C164" s="246"/>
      <c r="D164" s="246"/>
      <c r="E164" s="246"/>
      <c r="F164" s="246"/>
      <c r="G164" s="246"/>
      <c r="H164" s="246"/>
      <c r="I164" s="246"/>
      <c r="J164" s="246"/>
      <c r="K164" s="246"/>
      <c r="L164" s="246"/>
      <c r="M164" s="246"/>
      <c r="N164" s="246"/>
      <c r="O164" s="246"/>
      <c r="P164" s="246"/>
      <c r="Q164" s="246"/>
      <c r="R164" s="246"/>
      <c r="S164" s="246"/>
      <c r="T164" s="246"/>
      <c r="U164" s="246"/>
      <c r="V164" s="246"/>
    </row>
    <row r="165" spans="1:22" x14ac:dyDescent="0.2">
      <c r="A165" s="246"/>
      <c r="B165" s="246"/>
      <c r="C165" s="246"/>
      <c r="D165" s="246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</row>
    <row r="166" spans="1:22" x14ac:dyDescent="0.2">
      <c r="A166" s="246"/>
      <c r="B166" s="246"/>
      <c r="C166" s="246"/>
      <c r="D166" s="246"/>
      <c r="E166" s="246"/>
      <c r="F166" s="246"/>
      <c r="G166" s="246"/>
      <c r="H166" s="246"/>
      <c r="I166" s="246"/>
      <c r="J166" s="246"/>
      <c r="K166" s="246"/>
      <c r="L166" s="246"/>
      <c r="M166" s="246"/>
      <c r="N166" s="246"/>
      <c r="O166" s="246"/>
      <c r="P166" s="246"/>
      <c r="Q166" s="246"/>
      <c r="R166" s="246"/>
      <c r="S166" s="246"/>
      <c r="T166" s="246"/>
      <c r="U166" s="246"/>
      <c r="V166" s="246"/>
    </row>
    <row r="167" spans="1:22" x14ac:dyDescent="0.2">
      <c r="A167" s="246"/>
      <c r="B167" s="246"/>
      <c r="C167" s="246"/>
      <c r="D167" s="246"/>
      <c r="E167" s="246"/>
      <c r="F167" s="246"/>
      <c r="G167" s="246"/>
      <c r="H167" s="246"/>
      <c r="I167" s="246"/>
      <c r="J167" s="246"/>
      <c r="K167" s="246"/>
      <c r="L167" s="246"/>
      <c r="M167" s="246"/>
      <c r="N167" s="246"/>
      <c r="O167" s="246"/>
      <c r="P167" s="246"/>
      <c r="Q167" s="246"/>
      <c r="R167" s="246"/>
      <c r="S167" s="246"/>
      <c r="T167" s="246"/>
      <c r="U167" s="246"/>
      <c r="V167" s="246"/>
    </row>
    <row r="168" spans="1:22" x14ac:dyDescent="0.2">
      <c r="A168" s="246"/>
      <c r="B168" s="246"/>
      <c r="C168" s="246"/>
      <c r="D168" s="246"/>
      <c r="E168" s="246"/>
      <c r="F168" s="246"/>
      <c r="G168" s="246"/>
      <c r="H168" s="246"/>
      <c r="I168" s="246"/>
      <c r="J168" s="246"/>
      <c r="K168" s="246"/>
      <c r="L168" s="246"/>
      <c r="M168" s="246"/>
      <c r="N168" s="246"/>
      <c r="O168" s="246"/>
      <c r="P168" s="246"/>
      <c r="Q168" s="246"/>
      <c r="R168" s="246"/>
      <c r="S168" s="246"/>
      <c r="T168" s="246"/>
      <c r="U168" s="246"/>
      <c r="V168" s="246"/>
    </row>
    <row r="169" spans="1:22" x14ac:dyDescent="0.2">
      <c r="A169" s="246"/>
      <c r="B169" s="246"/>
      <c r="C169" s="246"/>
      <c r="D169" s="246"/>
      <c r="E169" s="246"/>
      <c r="F169" s="246"/>
      <c r="G169" s="246"/>
      <c r="H169" s="246"/>
      <c r="I169" s="246"/>
      <c r="J169" s="246"/>
      <c r="K169" s="246"/>
      <c r="L169" s="246"/>
      <c r="M169" s="246"/>
      <c r="N169" s="246"/>
      <c r="O169" s="246"/>
      <c r="P169" s="246"/>
      <c r="Q169" s="246"/>
      <c r="R169" s="246"/>
      <c r="S169" s="246"/>
      <c r="T169" s="246"/>
      <c r="U169" s="246"/>
      <c r="V169" s="246"/>
    </row>
    <row r="170" spans="1:22" x14ac:dyDescent="0.2">
      <c r="A170" s="246"/>
      <c r="B170" s="246"/>
      <c r="C170" s="246"/>
      <c r="D170" s="246"/>
      <c r="E170" s="246"/>
      <c r="F170" s="246"/>
      <c r="G170" s="246"/>
      <c r="H170" s="246"/>
      <c r="I170" s="246"/>
      <c r="J170" s="246"/>
      <c r="K170" s="246"/>
      <c r="L170" s="246"/>
      <c r="M170" s="246"/>
      <c r="N170" s="246"/>
      <c r="O170" s="246"/>
      <c r="P170" s="246"/>
      <c r="Q170" s="246"/>
      <c r="R170" s="246"/>
      <c r="S170" s="246"/>
      <c r="T170" s="246"/>
      <c r="U170" s="246"/>
      <c r="V170" s="246"/>
    </row>
    <row r="171" spans="1:22" x14ac:dyDescent="0.2">
      <c r="A171" s="246"/>
      <c r="B171" s="246"/>
      <c r="C171" s="246"/>
      <c r="D171" s="246"/>
      <c r="E171" s="246"/>
      <c r="F171" s="246"/>
      <c r="G171" s="246"/>
      <c r="H171" s="246"/>
      <c r="I171" s="246"/>
      <c r="J171" s="246"/>
      <c r="K171" s="246"/>
      <c r="L171" s="246"/>
      <c r="M171" s="246"/>
      <c r="N171" s="246"/>
      <c r="O171" s="246"/>
      <c r="P171" s="246"/>
      <c r="Q171" s="246"/>
      <c r="R171" s="246"/>
      <c r="S171" s="246"/>
      <c r="T171" s="246"/>
      <c r="U171" s="246"/>
      <c r="V171" s="246"/>
    </row>
    <row r="172" spans="1:22" x14ac:dyDescent="0.2">
      <c r="A172" s="246"/>
      <c r="B172" s="246"/>
      <c r="C172" s="246"/>
      <c r="D172" s="246"/>
      <c r="E172" s="246"/>
      <c r="F172" s="246"/>
      <c r="G172" s="246"/>
      <c r="H172" s="246"/>
      <c r="I172" s="246"/>
      <c r="J172" s="246"/>
      <c r="K172" s="246"/>
      <c r="L172" s="246"/>
      <c r="M172" s="246"/>
      <c r="N172" s="246"/>
      <c r="O172" s="246"/>
      <c r="P172" s="246"/>
      <c r="Q172" s="246"/>
      <c r="R172" s="246"/>
      <c r="S172" s="246"/>
      <c r="T172" s="246"/>
      <c r="U172" s="246"/>
      <c r="V172" s="246"/>
    </row>
    <row r="173" spans="1:22" x14ac:dyDescent="0.2">
      <c r="A173" s="246"/>
      <c r="B173" s="246"/>
      <c r="C173" s="246"/>
      <c r="D173" s="246"/>
      <c r="E173" s="246"/>
      <c r="F173" s="246"/>
      <c r="G173" s="246"/>
      <c r="H173" s="246"/>
      <c r="I173" s="246"/>
      <c r="J173" s="246"/>
      <c r="K173" s="246"/>
      <c r="L173" s="246"/>
      <c r="M173" s="246"/>
      <c r="N173" s="246"/>
      <c r="O173" s="246"/>
      <c r="P173" s="246"/>
      <c r="Q173" s="246"/>
      <c r="R173" s="246"/>
      <c r="S173" s="246"/>
      <c r="T173" s="246"/>
      <c r="U173" s="246"/>
      <c r="V173" s="246"/>
    </row>
    <row r="174" spans="1:22" x14ac:dyDescent="0.2">
      <c r="A174" s="246"/>
      <c r="B174" s="246"/>
      <c r="C174" s="246"/>
      <c r="D174" s="246"/>
      <c r="E174" s="246"/>
      <c r="F174" s="246"/>
      <c r="G174" s="246"/>
      <c r="H174" s="246"/>
      <c r="I174" s="246"/>
      <c r="J174" s="246"/>
      <c r="K174" s="246"/>
      <c r="L174" s="246"/>
      <c r="M174" s="246"/>
      <c r="N174" s="246"/>
      <c r="O174" s="246"/>
      <c r="P174" s="246"/>
      <c r="Q174" s="246"/>
      <c r="R174" s="246"/>
      <c r="S174" s="246"/>
      <c r="T174" s="246"/>
      <c r="U174" s="246"/>
      <c r="V174" s="246"/>
    </row>
    <row r="175" spans="1:22" x14ac:dyDescent="0.2">
      <c r="A175" s="246"/>
      <c r="B175" s="246"/>
      <c r="C175" s="246"/>
      <c r="D175" s="246"/>
      <c r="E175" s="246"/>
      <c r="F175" s="246"/>
      <c r="G175" s="246"/>
      <c r="H175" s="246"/>
      <c r="I175" s="246"/>
      <c r="J175" s="246"/>
      <c r="K175" s="246"/>
      <c r="L175" s="246"/>
      <c r="M175" s="246"/>
      <c r="N175" s="246"/>
      <c r="O175" s="246"/>
      <c r="P175" s="246"/>
      <c r="Q175" s="246"/>
      <c r="R175" s="246"/>
      <c r="S175" s="246"/>
      <c r="T175" s="246"/>
      <c r="U175" s="246"/>
      <c r="V175" s="246"/>
    </row>
    <row r="176" spans="1:22" x14ac:dyDescent="0.2">
      <c r="A176" s="246"/>
      <c r="B176" s="246"/>
      <c r="C176" s="246"/>
      <c r="D176" s="246"/>
      <c r="E176" s="246"/>
      <c r="F176" s="246"/>
      <c r="G176" s="246"/>
      <c r="H176" s="246"/>
      <c r="I176" s="246"/>
      <c r="J176" s="246"/>
      <c r="K176" s="246"/>
      <c r="L176" s="246"/>
      <c r="M176" s="246"/>
      <c r="N176" s="246"/>
      <c r="O176" s="246"/>
      <c r="P176" s="246"/>
      <c r="Q176" s="246"/>
      <c r="R176" s="246"/>
      <c r="S176" s="246"/>
      <c r="T176" s="246"/>
      <c r="U176" s="246"/>
      <c r="V176" s="246"/>
    </row>
    <row r="177" spans="1:22" x14ac:dyDescent="0.2">
      <c r="A177" s="246"/>
      <c r="B177" s="246"/>
      <c r="C177" s="246"/>
      <c r="D177" s="246"/>
      <c r="E177" s="246"/>
      <c r="F177" s="246"/>
      <c r="G177" s="246"/>
      <c r="H177" s="246"/>
      <c r="I177" s="246"/>
      <c r="J177" s="246"/>
      <c r="K177" s="246"/>
      <c r="L177" s="246"/>
      <c r="M177" s="246"/>
      <c r="N177" s="246"/>
      <c r="O177" s="246"/>
      <c r="P177" s="246"/>
      <c r="Q177" s="246"/>
      <c r="R177" s="246"/>
      <c r="S177" s="246"/>
      <c r="T177" s="246"/>
      <c r="U177" s="246"/>
      <c r="V177" s="246"/>
    </row>
    <row r="178" spans="1:22" x14ac:dyDescent="0.2">
      <c r="A178" s="246"/>
      <c r="B178" s="246"/>
      <c r="C178" s="246"/>
      <c r="D178" s="246"/>
      <c r="E178" s="246"/>
      <c r="F178" s="246"/>
      <c r="G178" s="246"/>
      <c r="H178" s="246"/>
      <c r="I178" s="246"/>
      <c r="J178" s="246"/>
      <c r="K178" s="246"/>
      <c r="L178" s="246"/>
      <c r="M178" s="246"/>
      <c r="N178" s="246"/>
      <c r="O178" s="246"/>
      <c r="P178" s="246"/>
      <c r="Q178" s="246"/>
      <c r="R178" s="246"/>
      <c r="S178" s="246"/>
      <c r="T178" s="246"/>
      <c r="U178" s="246"/>
      <c r="V178" s="246"/>
    </row>
    <row r="179" spans="1:22" x14ac:dyDescent="0.2">
      <c r="A179" s="246"/>
      <c r="B179" s="246"/>
      <c r="C179" s="246"/>
      <c r="D179" s="246"/>
      <c r="E179" s="246"/>
      <c r="F179" s="246"/>
      <c r="G179" s="246"/>
      <c r="H179" s="246"/>
      <c r="I179" s="246"/>
      <c r="J179" s="246"/>
      <c r="K179" s="246"/>
      <c r="L179" s="246"/>
      <c r="M179" s="246"/>
      <c r="N179" s="246"/>
      <c r="O179" s="246"/>
      <c r="P179" s="246"/>
      <c r="Q179" s="246"/>
      <c r="R179" s="246"/>
      <c r="S179" s="246"/>
      <c r="T179" s="246"/>
      <c r="U179" s="246"/>
      <c r="V179" s="246"/>
    </row>
    <row r="180" spans="1:22" x14ac:dyDescent="0.2">
      <c r="A180" s="246"/>
      <c r="B180" s="246"/>
      <c r="C180" s="246"/>
      <c r="D180" s="246"/>
      <c r="E180" s="246"/>
      <c r="F180" s="246"/>
      <c r="G180" s="246"/>
      <c r="H180" s="246"/>
      <c r="I180" s="246"/>
      <c r="J180" s="246"/>
      <c r="K180" s="246"/>
      <c r="L180" s="246"/>
      <c r="M180" s="246"/>
      <c r="N180" s="246"/>
      <c r="O180" s="246"/>
      <c r="P180" s="246"/>
      <c r="Q180" s="246"/>
      <c r="R180" s="246"/>
      <c r="S180" s="246"/>
      <c r="T180" s="246"/>
      <c r="U180" s="246"/>
      <c r="V180" s="246"/>
    </row>
    <row r="181" spans="1:22" x14ac:dyDescent="0.2">
      <c r="A181" s="246"/>
      <c r="B181" s="246"/>
      <c r="C181" s="246"/>
      <c r="D181" s="246"/>
      <c r="E181" s="246"/>
      <c r="F181" s="246"/>
      <c r="G181" s="246"/>
      <c r="H181" s="246"/>
      <c r="I181" s="246"/>
      <c r="J181" s="246"/>
      <c r="K181" s="246"/>
      <c r="L181" s="246"/>
      <c r="M181" s="246"/>
      <c r="N181" s="246"/>
      <c r="O181" s="246"/>
      <c r="P181" s="246"/>
      <c r="Q181" s="246"/>
      <c r="R181" s="246"/>
      <c r="S181" s="246"/>
      <c r="T181" s="246"/>
      <c r="U181" s="246"/>
      <c r="V181" s="246"/>
    </row>
    <row r="182" spans="1:22" x14ac:dyDescent="0.2">
      <c r="A182" s="246"/>
      <c r="B182" s="246"/>
      <c r="C182" s="246"/>
      <c r="D182" s="246"/>
      <c r="E182" s="246"/>
      <c r="F182" s="246"/>
      <c r="G182" s="246"/>
      <c r="H182" s="246"/>
      <c r="I182" s="246"/>
      <c r="J182" s="246"/>
      <c r="K182" s="246"/>
      <c r="L182" s="246"/>
      <c r="M182" s="246"/>
      <c r="N182" s="246"/>
      <c r="O182" s="246"/>
      <c r="P182" s="246"/>
      <c r="Q182" s="246"/>
      <c r="R182" s="246"/>
      <c r="S182" s="246"/>
      <c r="T182" s="246"/>
      <c r="U182" s="246"/>
      <c r="V182" s="246"/>
    </row>
    <row r="183" spans="1:22" x14ac:dyDescent="0.2">
      <c r="A183" s="246"/>
      <c r="B183" s="246"/>
      <c r="C183" s="246"/>
      <c r="D183" s="246"/>
      <c r="E183" s="246"/>
      <c r="F183" s="246"/>
      <c r="G183" s="246"/>
      <c r="H183" s="246"/>
      <c r="I183" s="246"/>
      <c r="J183" s="246"/>
      <c r="K183" s="246"/>
      <c r="L183" s="246"/>
      <c r="M183" s="246"/>
      <c r="N183" s="246"/>
      <c r="O183" s="246"/>
      <c r="P183" s="246"/>
      <c r="Q183" s="246"/>
      <c r="R183" s="246"/>
      <c r="S183" s="246"/>
      <c r="T183" s="246"/>
      <c r="U183" s="246"/>
      <c r="V183" s="246"/>
    </row>
    <row r="184" spans="1:22" x14ac:dyDescent="0.2">
      <c r="A184" s="246"/>
      <c r="B184" s="246"/>
      <c r="C184" s="246"/>
      <c r="D184" s="246"/>
      <c r="E184" s="246"/>
      <c r="F184" s="246"/>
      <c r="G184" s="246"/>
      <c r="H184" s="246"/>
      <c r="I184" s="246"/>
      <c r="J184" s="246"/>
      <c r="K184" s="246"/>
      <c r="L184" s="246"/>
      <c r="M184" s="246"/>
      <c r="N184" s="246"/>
      <c r="O184" s="246"/>
      <c r="P184" s="246"/>
      <c r="Q184" s="246"/>
      <c r="R184" s="246"/>
      <c r="S184" s="246"/>
      <c r="T184" s="246"/>
      <c r="U184" s="246"/>
      <c r="V184" s="246"/>
    </row>
    <row r="185" spans="1:22" x14ac:dyDescent="0.2">
      <c r="A185" s="246"/>
      <c r="B185" s="246"/>
      <c r="C185" s="246"/>
      <c r="D185" s="246"/>
      <c r="E185" s="246"/>
      <c r="F185" s="246"/>
      <c r="G185" s="246"/>
      <c r="H185" s="246"/>
      <c r="I185" s="246"/>
      <c r="J185" s="246"/>
      <c r="K185" s="246"/>
      <c r="L185" s="246"/>
      <c r="M185" s="246"/>
      <c r="N185" s="246"/>
      <c r="O185" s="246"/>
      <c r="P185" s="246"/>
      <c r="Q185" s="246"/>
      <c r="R185" s="246"/>
      <c r="S185" s="246"/>
      <c r="T185" s="246"/>
      <c r="U185" s="246"/>
      <c r="V185" s="246"/>
    </row>
    <row r="186" spans="1:22" x14ac:dyDescent="0.2">
      <c r="A186" s="246"/>
      <c r="B186" s="246"/>
      <c r="C186" s="246"/>
      <c r="D186" s="246"/>
      <c r="E186" s="246"/>
      <c r="F186" s="246"/>
      <c r="G186" s="246"/>
      <c r="H186" s="246"/>
      <c r="I186" s="246"/>
      <c r="J186" s="246"/>
      <c r="K186" s="246"/>
      <c r="L186" s="246"/>
      <c r="M186" s="246"/>
      <c r="N186" s="246"/>
      <c r="O186" s="246"/>
      <c r="P186" s="246"/>
      <c r="Q186" s="246"/>
      <c r="R186" s="246"/>
      <c r="S186" s="246"/>
      <c r="T186" s="246"/>
      <c r="U186" s="246"/>
      <c r="V186" s="246"/>
    </row>
    <row r="187" spans="1:22" x14ac:dyDescent="0.2">
      <c r="A187" s="246"/>
      <c r="B187" s="246"/>
      <c r="C187" s="246"/>
      <c r="D187" s="246"/>
      <c r="E187" s="246"/>
      <c r="F187" s="246"/>
      <c r="G187" s="246"/>
      <c r="H187" s="246"/>
      <c r="I187" s="246"/>
      <c r="J187" s="246"/>
      <c r="K187" s="246"/>
      <c r="L187" s="246"/>
      <c r="M187" s="246"/>
      <c r="N187" s="246"/>
      <c r="O187" s="246"/>
      <c r="P187" s="246"/>
      <c r="Q187" s="246"/>
      <c r="R187" s="246"/>
      <c r="S187" s="246"/>
      <c r="T187" s="246"/>
      <c r="U187" s="246"/>
      <c r="V187" s="246"/>
    </row>
    <row r="188" spans="1:22" x14ac:dyDescent="0.2">
      <c r="A188" s="246"/>
      <c r="B188" s="246"/>
      <c r="C188" s="246"/>
      <c r="D188" s="246"/>
      <c r="E188" s="246"/>
      <c r="F188" s="246"/>
      <c r="G188" s="246"/>
      <c r="H188" s="246"/>
      <c r="I188" s="246"/>
      <c r="J188" s="246"/>
      <c r="K188" s="246"/>
      <c r="L188" s="246"/>
      <c r="M188" s="246"/>
      <c r="N188" s="246"/>
      <c r="O188" s="246"/>
      <c r="P188" s="246"/>
      <c r="Q188" s="246"/>
      <c r="R188" s="246"/>
      <c r="S188" s="246"/>
      <c r="T188" s="246"/>
      <c r="U188" s="246"/>
      <c r="V188" s="246"/>
    </row>
    <row r="189" spans="1:22" x14ac:dyDescent="0.2">
      <c r="A189" s="246"/>
      <c r="B189" s="246"/>
      <c r="C189" s="246"/>
      <c r="D189" s="246"/>
      <c r="E189" s="246"/>
      <c r="F189" s="246"/>
      <c r="G189" s="246"/>
      <c r="H189" s="246"/>
      <c r="I189" s="246"/>
      <c r="J189" s="246"/>
      <c r="K189" s="246"/>
      <c r="L189" s="246"/>
      <c r="M189" s="246"/>
      <c r="N189" s="246"/>
      <c r="O189" s="246"/>
      <c r="P189" s="246"/>
      <c r="Q189" s="246"/>
      <c r="R189" s="246"/>
      <c r="S189" s="246"/>
      <c r="T189" s="246"/>
      <c r="U189" s="246"/>
      <c r="V189" s="246"/>
    </row>
    <row r="190" spans="1:22" x14ac:dyDescent="0.2">
      <c r="A190" s="246"/>
      <c r="B190" s="246"/>
      <c r="C190" s="246"/>
      <c r="D190" s="246"/>
      <c r="E190" s="246"/>
      <c r="F190" s="246"/>
      <c r="G190" s="246"/>
      <c r="H190" s="246"/>
      <c r="I190" s="246"/>
      <c r="J190" s="246"/>
      <c r="K190" s="246"/>
      <c r="L190" s="246"/>
      <c r="M190" s="246"/>
      <c r="N190" s="246"/>
      <c r="O190" s="246"/>
      <c r="P190" s="246"/>
      <c r="Q190" s="246"/>
      <c r="R190" s="246"/>
      <c r="S190" s="246"/>
      <c r="T190" s="246"/>
      <c r="U190" s="246"/>
      <c r="V190" s="246"/>
    </row>
    <row r="191" spans="1:22" x14ac:dyDescent="0.2">
      <c r="A191" s="246"/>
      <c r="B191" s="246"/>
      <c r="C191" s="246"/>
      <c r="D191" s="246"/>
      <c r="E191" s="246"/>
      <c r="F191" s="246"/>
      <c r="G191" s="246"/>
      <c r="H191" s="246"/>
      <c r="I191" s="246"/>
      <c r="J191" s="246"/>
      <c r="K191" s="246"/>
      <c r="L191" s="246"/>
      <c r="M191" s="246"/>
      <c r="N191" s="246"/>
      <c r="O191" s="246"/>
      <c r="P191" s="246"/>
      <c r="Q191" s="246"/>
      <c r="R191" s="246"/>
      <c r="S191" s="246"/>
      <c r="T191" s="246"/>
      <c r="U191" s="246"/>
      <c r="V191" s="246"/>
    </row>
    <row r="192" spans="1:22" x14ac:dyDescent="0.2">
      <c r="A192" s="246"/>
      <c r="B192" s="246"/>
      <c r="C192" s="246"/>
      <c r="D192" s="246"/>
      <c r="E192" s="246"/>
      <c r="F192" s="246"/>
      <c r="G192" s="246"/>
      <c r="H192" s="246"/>
      <c r="I192" s="246"/>
      <c r="J192" s="246"/>
      <c r="K192" s="246"/>
      <c r="L192" s="246"/>
      <c r="M192" s="246"/>
      <c r="N192" s="246"/>
      <c r="O192" s="246"/>
      <c r="P192" s="246"/>
      <c r="Q192" s="246"/>
      <c r="R192" s="246"/>
      <c r="S192" s="246"/>
      <c r="T192" s="246"/>
      <c r="U192" s="246"/>
      <c r="V192" s="246"/>
    </row>
    <row r="193" spans="1:22" x14ac:dyDescent="0.2">
      <c r="A193" s="246"/>
      <c r="B193" s="246"/>
      <c r="C193" s="246"/>
      <c r="D193" s="246"/>
      <c r="E193" s="246"/>
      <c r="F193" s="246"/>
      <c r="G193" s="246"/>
      <c r="H193" s="246"/>
      <c r="I193" s="246"/>
      <c r="J193" s="246"/>
      <c r="K193" s="246"/>
      <c r="L193" s="246"/>
      <c r="M193" s="246"/>
      <c r="N193" s="246"/>
      <c r="O193" s="246"/>
      <c r="P193" s="246"/>
      <c r="Q193" s="246"/>
      <c r="R193" s="246"/>
      <c r="S193" s="246"/>
      <c r="T193" s="246"/>
      <c r="U193" s="246"/>
      <c r="V193" s="246"/>
    </row>
    <row r="194" spans="1:22" x14ac:dyDescent="0.2">
      <c r="A194" s="246"/>
      <c r="B194" s="246"/>
      <c r="C194" s="246"/>
      <c r="D194" s="246"/>
      <c r="E194" s="246"/>
      <c r="F194" s="246"/>
      <c r="G194" s="246"/>
      <c r="H194" s="246"/>
      <c r="I194" s="246"/>
      <c r="J194" s="246"/>
      <c r="K194" s="246"/>
      <c r="L194" s="246"/>
      <c r="M194" s="246"/>
      <c r="N194" s="246"/>
      <c r="O194" s="246"/>
      <c r="P194" s="246"/>
      <c r="Q194" s="246"/>
      <c r="R194" s="246"/>
      <c r="S194" s="246"/>
      <c r="T194" s="246"/>
      <c r="U194" s="246"/>
      <c r="V194" s="246"/>
    </row>
    <row r="195" spans="1:22" x14ac:dyDescent="0.2">
      <c r="A195" s="246"/>
      <c r="B195" s="246"/>
      <c r="C195" s="246"/>
      <c r="D195" s="246"/>
      <c r="E195" s="246"/>
      <c r="F195" s="246"/>
      <c r="G195" s="246"/>
      <c r="H195" s="246"/>
      <c r="I195" s="246"/>
      <c r="J195" s="246"/>
      <c r="K195" s="246"/>
      <c r="L195" s="246"/>
      <c r="M195" s="246"/>
      <c r="N195" s="246"/>
      <c r="O195" s="246"/>
      <c r="P195" s="246"/>
      <c r="Q195" s="246"/>
      <c r="R195" s="246"/>
      <c r="S195" s="246"/>
      <c r="T195" s="246"/>
      <c r="U195" s="246"/>
      <c r="V195" s="246"/>
    </row>
    <row r="196" spans="1:22" x14ac:dyDescent="0.2">
      <c r="A196" s="246"/>
      <c r="B196" s="246"/>
      <c r="C196" s="246"/>
      <c r="D196" s="246"/>
      <c r="E196" s="246"/>
      <c r="F196" s="246"/>
      <c r="G196" s="246"/>
      <c r="H196" s="246"/>
      <c r="I196" s="246"/>
      <c r="J196" s="246"/>
      <c r="K196" s="246"/>
      <c r="L196" s="246"/>
      <c r="M196" s="246"/>
      <c r="N196" s="246"/>
      <c r="O196" s="246"/>
      <c r="P196" s="246"/>
      <c r="Q196" s="246"/>
      <c r="R196" s="246"/>
      <c r="S196" s="246"/>
      <c r="T196" s="246"/>
      <c r="U196" s="246"/>
      <c r="V196" s="246"/>
    </row>
    <row r="197" spans="1:22" x14ac:dyDescent="0.2">
      <c r="A197" s="246"/>
      <c r="B197" s="246"/>
      <c r="C197" s="246"/>
      <c r="D197" s="246"/>
      <c r="E197" s="246"/>
      <c r="F197" s="246"/>
      <c r="G197" s="246"/>
      <c r="H197" s="246"/>
      <c r="I197" s="246"/>
      <c r="J197" s="246"/>
      <c r="K197" s="246"/>
      <c r="L197" s="246"/>
      <c r="M197" s="246"/>
      <c r="N197" s="246"/>
      <c r="O197" s="246"/>
      <c r="P197" s="246"/>
      <c r="Q197" s="246"/>
      <c r="R197" s="246"/>
      <c r="S197" s="246"/>
      <c r="T197" s="246"/>
      <c r="U197" s="246"/>
      <c r="V197" s="246"/>
    </row>
    <row r="198" spans="1:22" x14ac:dyDescent="0.2">
      <c r="A198" s="246"/>
      <c r="B198" s="246"/>
      <c r="C198" s="246"/>
      <c r="D198" s="246"/>
      <c r="E198" s="246"/>
      <c r="F198" s="246"/>
      <c r="G198" s="246"/>
      <c r="H198" s="246"/>
      <c r="I198" s="246"/>
      <c r="J198" s="246"/>
      <c r="K198" s="246"/>
      <c r="L198" s="246"/>
      <c r="M198" s="246"/>
      <c r="N198" s="246"/>
      <c r="O198" s="246"/>
      <c r="P198" s="246"/>
      <c r="Q198" s="246"/>
      <c r="R198" s="246"/>
      <c r="S198" s="246"/>
      <c r="T198" s="246"/>
      <c r="U198" s="246"/>
      <c r="V198" s="246"/>
    </row>
    <row r="199" spans="1:22" x14ac:dyDescent="0.2">
      <c r="A199" s="246"/>
      <c r="B199" s="246"/>
      <c r="C199" s="246"/>
      <c r="D199" s="246"/>
      <c r="E199" s="246"/>
      <c r="F199" s="246"/>
      <c r="G199" s="246"/>
      <c r="H199" s="246"/>
      <c r="I199" s="246"/>
      <c r="J199" s="246"/>
      <c r="K199" s="246"/>
      <c r="L199" s="246"/>
      <c r="M199" s="246"/>
      <c r="N199" s="246"/>
      <c r="O199" s="246"/>
      <c r="P199" s="246"/>
      <c r="Q199" s="246"/>
      <c r="R199" s="246"/>
      <c r="S199" s="246"/>
      <c r="T199" s="246"/>
      <c r="U199" s="246"/>
      <c r="V199" s="246"/>
    </row>
    <row r="200" spans="1:22" x14ac:dyDescent="0.2">
      <c r="A200" s="246"/>
      <c r="B200" s="246"/>
      <c r="C200" s="246"/>
      <c r="D200" s="246"/>
      <c r="E200" s="246"/>
      <c r="F200" s="246"/>
      <c r="G200" s="246"/>
      <c r="H200" s="246"/>
      <c r="I200" s="246"/>
      <c r="J200" s="246"/>
      <c r="K200" s="246"/>
      <c r="L200" s="246"/>
      <c r="M200" s="246"/>
      <c r="N200" s="246"/>
      <c r="O200" s="246"/>
      <c r="P200" s="246"/>
      <c r="Q200" s="246"/>
      <c r="R200" s="246"/>
      <c r="S200" s="246"/>
      <c r="T200" s="246"/>
      <c r="U200" s="246"/>
      <c r="V200" s="246"/>
    </row>
    <row r="201" spans="1:22" x14ac:dyDescent="0.2">
      <c r="A201" s="246"/>
      <c r="B201" s="246"/>
      <c r="C201" s="246"/>
      <c r="D201" s="246"/>
      <c r="E201" s="246"/>
      <c r="F201" s="246"/>
      <c r="G201" s="246"/>
      <c r="H201" s="246"/>
      <c r="I201" s="246"/>
      <c r="J201" s="246"/>
      <c r="K201" s="246"/>
      <c r="L201" s="246"/>
      <c r="M201" s="246"/>
      <c r="N201" s="246"/>
      <c r="O201" s="246"/>
      <c r="P201" s="246"/>
      <c r="Q201" s="246"/>
      <c r="R201" s="246"/>
      <c r="S201" s="246"/>
      <c r="T201" s="246"/>
      <c r="U201" s="246"/>
      <c r="V201" s="246"/>
    </row>
    <row r="202" spans="1:22" x14ac:dyDescent="0.2">
      <c r="A202" s="246"/>
      <c r="B202" s="246"/>
      <c r="C202" s="246"/>
      <c r="D202" s="246"/>
      <c r="E202" s="246"/>
      <c r="F202" s="246"/>
      <c r="G202" s="246"/>
      <c r="H202" s="246"/>
      <c r="I202" s="246"/>
      <c r="J202" s="246"/>
      <c r="K202" s="246"/>
      <c r="L202" s="246"/>
      <c r="M202" s="246"/>
      <c r="N202" s="246"/>
      <c r="O202" s="246"/>
      <c r="P202" s="246"/>
      <c r="Q202" s="246"/>
      <c r="R202" s="246"/>
      <c r="S202" s="246"/>
      <c r="T202" s="246"/>
      <c r="U202" s="246"/>
      <c r="V202" s="246"/>
    </row>
    <row r="203" spans="1:22" x14ac:dyDescent="0.2">
      <c r="A203" s="246"/>
      <c r="B203" s="246"/>
      <c r="C203" s="246"/>
      <c r="D203" s="246"/>
      <c r="E203" s="246"/>
      <c r="F203" s="246"/>
      <c r="G203" s="246"/>
      <c r="H203" s="246"/>
      <c r="I203" s="246"/>
      <c r="J203" s="246"/>
      <c r="K203" s="246"/>
      <c r="L203" s="246"/>
      <c r="M203" s="246"/>
      <c r="N203" s="246"/>
      <c r="O203" s="246"/>
      <c r="P203" s="246"/>
      <c r="Q203" s="246"/>
      <c r="R203" s="246"/>
      <c r="S203" s="246"/>
      <c r="T203" s="246"/>
      <c r="U203" s="246"/>
      <c r="V203" s="246"/>
    </row>
  </sheetData>
  <customSheetViews>
    <customSheetView guid="{03674138-A9FA-46A6-AB09-A74C70852C0D}" showPageBreaks="1" fitToPage="1" printArea="1" view="pageLayout">
      <selection activeCell="I19" sqref="I19"/>
      <pageMargins left="0" right="0" top="2" bottom="1" header="0.5" footer="0.5"/>
      <printOptions horizontalCentered="1" gridLines="1"/>
      <pageSetup scale="79" orientation="portrait" r:id="rId1"/>
      <headerFooter alignWithMargins="0">
        <oddHeader>&amp;L&amp;"Times New Roman,Regular"Ordinance #  (budget adoption)
Resolution #8384 (contract adoption)&amp;C&amp;"Times New Roman,Bold"&amp;14
 ATTACHMENT I
2014 CITY OF BELLEVUE PAY PLANS
TEAMSTERS LOCAL UNION NO 763
UTILITIES, PARKS &amp;&amp; CIVIC SERVICES</oddHeader>
        <oddFooter>&amp;C&amp;"Times New Roman,Regular"&amp;A</oddFooter>
      </headerFooter>
    </customSheetView>
    <customSheetView guid="{6140C585-A678-4296-91B8-0C17DF653D09}" showPageBreaks="1" fitToPage="1" printArea="1" view="pageLayout">
      <selection sqref="A1:A2"/>
      <pageMargins left="0" right="0" top="2" bottom="1" header="0.5" footer="0.5"/>
      <printOptions horizontalCentered="1" gridLines="1"/>
      <pageSetup scale="91" orientation="portrait" r:id="rId2"/>
      <headerFooter alignWithMargins="0">
        <oddHeader>&amp;LOrdinance #  (budget adoption)
Resolution #8384 (contract adoption)&amp;C&amp;"Arial,Bold"&amp;14
 2014 CITY OF BELLEVUE PAY PLANS
TEAMSTERS LOCAL UNION NO 763
UTILITIES, PARKS &amp;&amp; CIVIC SERVICES</oddHeader>
        <oddFooter xml:space="preserve">&amp;C&amp;A&amp;REffective 01/01/14,
System Update  </oddFooter>
      </headerFooter>
    </customSheetView>
    <customSheetView guid="{49073133-97C6-4E81-BEFE-D9E658C173F7}" showPageBreaks="1" fitToPage="1" printArea="1" view="pageLayout">
      <selection sqref="A1:A2"/>
      <pageMargins left="0" right="0" top="2" bottom="1" header="0.5" footer="0.5"/>
      <printOptions horizontalCentered="1" gridLines="1"/>
      <pageSetup scale="91" orientation="portrait" r:id="rId3"/>
      <headerFooter alignWithMargins="0">
        <oddHeader>&amp;LOrdinance #  (budget adoption)
Resolution #8384 (contract adoption)&amp;C&amp;"Arial,Bold"&amp;14
 2014 CITY OF BELLEVUE PAY PLANS
TEAMSTERS LOCAL UNION NO 763
UTILITIES, PARKS &amp;&amp; CIVIC SERVICES</oddHeader>
        <oddFooter xml:space="preserve">&amp;C&amp;A&amp;REffective 01/01/14,
System Update  </oddFooter>
      </headerFooter>
    </customSheetView>
  </customSheetViews>
  <mergeCells count="4">
    <mergeCell ref="A1:A2"/>
    <mergeCell ref="B1:B2"/>
    <mergeCell ref="C1:C2"/>
    <mergeCell ref="D1:I1"/>
  </mergeCells>
  <phoneticPr fontId="7" type="noConversion"/>
  <printOptions horizontalCentered="1" gridLines="1"/>
  <pageMargins left="0" right="0" top="2" bottom="1" header="0.5" footer="0.5"/>
  <pageSetup scale="92" orientation="portrait" r:id="rId4"/>
  <headerFooter alignWithMargins="0">
    <oddHeader>&amp;LOrdinance #6333 (pay plan adoption)
Resolution #9044 (contract adoption)&amp;C&amp;"Times New Roman,Bold"&amp;14
 2017 CITY OF BELLEVUE PAY PLANS
TEAMSTERS UNION LOCAL NO 763
UTILITIES, PARKS, CIVIC SERVICES &amp;&amp; TRANSPORTATION</oddHeader>
    <oddFooter xml:space="preserve">&amp;C&amp;A&amp;REffective 01/01/17
System Update 01/xx/17 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N123"/>
  <sheetViews>
    <sheetView view="pageLayout" zoomScaleNormal="100" workbookViewId="0">
      <selection sqref="A1:A2"/>
    </sheetView>
  </sheetViews>
  <sheetFormatPr defaultColWidth="9.140625" defaultRowHeight="12.75" x14ac:dyDescent="0.2"/>
  <cols>
    <col min="1" max="1" width="5" style="273" customWidth="1"/>
    <col min="2" max="2" width="1.7109375" style="273" customWidth="1"/>
    <col min="3" max="3" width="8.28515625" style="273" customWidth="1"/>
    <col min="4" max="4" width="45.140625" style="246" bestFit="1" customWidth="1"/>
    <col min="5" max="5" width="12.28515625" style="317" bestFit="1" customWidth="1"/>
    <col min="6" max="6" width="11.140625" style="317" customWidth="1"/>
    <col min="7" max="7" width="12.28515625" style="317" bestFit="1" customWidth="1"/>
    <col min="8" max="8" width="9.85546875" style="246" bestFit="1" customWidth="1"/>
    <col min="9" max="10" width="9.140625" style="246"/>
    <col min="11" max="11" width="17" style="246" bestFit="1" customWidth="1"/>
    <col min="12" max="16384" width="9.140625" style="246"/>
  </cols>
  <sheetData>
    <row r="1" spans="1:14" s="261" customFormat="1" x14ac:dyDescent="0.2">
      <c r="A1" s="540" t="s">
        <v>559</v>
      </c>
      <c r="B1" s="542"/>
      <c r="C1" s="542" t="s">
        <v>0</v>
      </c>
      <c r="D1" s="542" t="s">
        <v>1</v>
      </c>
      <c r="E1" s="559" t="s">
        <v>381</v>
      </c>
      <c r="F1" s="559" t="s">
        <v>383</v>
      </c>
      <c r="G1" s="559" t="s">
        <v>382</v>
      </c>
      <c r="H1" s="395">
        <v>2017</v>
      </c>
      <c r="K1" s="331">
        <v>2017</v>
      </c>
      <c r="L1" s="309"/>
      <c r="M1" s="309"/>
    </row>
    <row r="2" spans="1:14" s="264" customFormat="1" x14ac:dyDescent="0.2">
      <c r="A2" s="541"/>
      <c r="B2" s="541"/>
      <c r="C2" s="541"/>
      <c r="D2" s="543"/>
      <c r="E2" s="560"/>
      <c r="F2" s="560"/>
      <c r="G2" s="560"/>
      <c r="H2" s="394"/>
      <c r="K2" s="380">
        <v>1.018</v>
      </c>
      <c r="L2" s="247" t="s">
        <v>466</v>
      </c>
      <c r="M2" s="247" t="s">
        <v>467</v>
      </c>
      <c r="N2" s="264" t="s">
        <v>382</v>
      </c>
    </row>
    <row r="3" spans="1:14" x14ac:dyDescent="0.2">
      <c r="A3" s="275" t="s">
        <v>170</v>
      </c>
      <c r="B3" s="273" t="s">
        <v>88</v>
      </c>
      <c r="C3" s="273" t="s">
        <v>960</v>
      </c>
      <c r="D3" s="246" t="s">
        <v>959</v>
      </c>
      <c r="E3" s="311">
        <f>E4/12</f>
        <v>8470.5895003333335</v>
      </c>
      <c r="F3" s="311">
        <f>F4/12</f>
        <v>10081.751352383333</v>
      </c>
      <c r="G3" s="311">
        <f>G4/12</f>
        <v>11692.913195950001</v>
      </c>
      <c r="H3" s="246" t="s">
        <v>10</v>
      </c>
      <c r="K3" s="312" t="s">
        <v>460</v>
      </c>
      <c r="L3" s="291">
        <f>(F3-E3)/E3</f>
        <v>0.19020657912729658</v>
      </c>
      <c r="M3" s="291">
        <f>(G3-F3)/F3</f>
        <v>0.15980971829718732</v>
      </c>
    </row>
    <row r="4" spans="1:14" ht="13.9" customHeight="1" x14ac:dyDescent="0.2">
      <c r="B4" s="273" t="s">
        <v>88</v>
      </c>
      <c r="C4" s="273" t="s">
        <v>934</v>
      </c>
      <c r="D4" s="246" t="s">
        <v>935</v>
      </c>
      <c r="E4" s="336">
        <f>99849.778*$K$2</f>
        <v>101647.07400400001</v>
      </c>
      <c r="F4" s="317">
        <f>118841.8627*$K$2</f>
        <v>120981.0162286</v>
      </c>
      <c r="G4" s="336">
        <f>137833.9473*$K$2</f>
        <v>140314.95835140001</v>
      </c>
      <c r="H4" s="246" t="s">
        <v>529</v>
      </c>
      <c r="K4" s="312" t="s">
        <v>461</v>
      </c>
      <c r="L4" s="291">
        <f>(G3-E3)/E3</f>
        <v>0.38041315725308883</v>
      </c>
    </row>
    <row r="5" spans="1:14" x14ac:dyDescent="0.2">
      <c r="B5" s="273" t="s">
        <v>88</v>
      </c>
      <c r="C5" s="273" t="s">
        <v>976</v>
      </c>
      <c r="D5" s="246" t="s">
        <v>977</v>
      </c>
      <c r="E5" s="314">
        <f>E4/2080</f>
        <v>48.868785578846158</v>
      </c>
      <c r="F5" s="314">
        <f>F4/2080</f>
        <v>58.163950109903844</v>
      </c>
      <c r="G5" s="314">
        <f>G4/2080</f>
        <v>67.459114592019233</v>
      </c>
      <c r="H5" s="246" t="s">
        <v>11</v>
      </c>
      <c r="K5" s="312" t="s">
        <v>462</v>
      </c>
      <c r="L5" s="291">
        <f>(E15-E3)/E3</f>
        <v>5.0956354655090026E-2</v>
      </c>
      <c r="M5" s="291">
        <f>(F15-F3)/F3</f>
        <v>5.0784257860677341E-2</v>
      </c>
      <c r="N5" s="291">
        <f>(G15-G3)/G3</f>
        <v>5.0659588851519492E-2</v>
      </c>
    </row>
    <row r="6" spans="1:14" x14ac:dyDescent="0.2">
      <c r="B6" s="273" t="s">
        <v>88</v>
      </c>
      <c r="C6" s="275" t="s">
        <v>367</v>
      </c>
      <c r="D6" s="276" t="s">
        <v>553</v>
      </c>
    </row>
    <row r="7" spans="1:14" x14ac:dyDescent="0.2">
      <c r="B7" s="273" t="s">
        <v>88</v>
      </c>
      <c r="C7" s="273" t="s">
        <v>508</v>
      </c>
      <c r="D7" s="276" t="s">
        <v>552</v>
      </c>
      <c r="E7" s="257"/>
      <c r="F7" s="257"/>
      <c r="G7" s="257"/>
      <c r="K7" s="312"/>
      <c r="L7" s="291"/>
      <c r="M7" s="291"/>
      <c r="N7" s="291"/>
    </row>
    <row r="8" spans="1:14" x14ac:dyDescent="0.2">
      <c r="A8" s="392"/>
      <c r="B8" s="392" t="s">
        <v>88</v>
      </c>
      <c r="C8" s="392" t="s">
        <v>1030</v>
      </c>
      <c r="D8" s="432" t="s">
        <v>1031</v>
      </c>
      <c r="E8" s="257"/>
      <c r="F8" s="257"/>
      <c r="G8" s="257"/>
      <c r="K8" s="312"/>
      <c r="L8" s="291"/>
      <c r="M8" s="291"/>
      <c r="N8" s="291"/>
    </row>
    <row r="9" spans="1:14" x14ac:dyDescent="0.2">
      <c r="B9" s="273" t="s">
        <v>88</v>
      </c>
      <c r="C9" s="275" t="s">
        <v>368</v>
      </c>
      <c r="D9" s="276" t="s">
        <v>493</v>
      </c>
    </row>
    <row r="10" spans="1:14" x14ac:dyDescent="0.2">
      <c r="B10" s="273" t="s">
        <v>88</v>
      </c>
      <c r="C10" s="273" t="s">
        <v>369</v>
      </c>
      <c r="D10" s="276" t="s">
        <v>495</v>
      </c>
    </row>
    <row r="11" spans="1:14" x14ac:dyDescent="0.2">
      <c r="B11" s="273" t="s">
        <v>88</v>
      </c>
      <c r="C11" s="273" t="s">
        <v>370</v>
      </c>
      <c r="D11" s="276" t="s">
        <v>551</v>
      </c>
    </row>
    <row r="12" spans="1:14" x14ac:dyDescent="0.2">
      <c r="B12" s="273" t="s">
        <v>88</v>
      </c>
      <c r="C12" s="275" t="s">
        <v>371</v>
      </c>
      <c r="D12" s="276" t="s">
        <v>550</v>
      </c>
    </row>
    <row r="13" spans="1:14" x14ac:dyDescent="0.2">
      <c r="B13" s="273" t="s">
        <v>88</v>
      </c>
      <c r="C13" s="273" t="s">
        <v>881</v>
      </c>
      <c r="D13" s="315" t="s">
        <v>882</v>
      </c>
    </row>
    <row r="14" spans="1:14" ht="35.1" customHeight="1" x14ac:dyDescent="0.2">
      <c r="D14" s="315"/>
    </row>
    <row r="15" spans="1:14" x14ac:dyDescent="0.2">
      <c r="A15" s="275" t="s">
        <v>171</v>
      </c>
      <c r="B15" s="273" t="s">
        <v>88</v>
      </c>
      <c r="C15" s="275" t="s">
        <v>372</v>
      </c>
      <c r="D15" s="276" t="s">
        <v>549</v>
      </c>
      <c r="E15" s="311">
        <f>E16/12</f>
        <v>8902.2198630500006</v>
      </c>
      <c r="F15" s="311">
        <f>F16/12</f>
        <v>10593.745612750001</v>
      </c>
      <c r="G15" s="311">
        <f>G16/12</f>
        <v>12285.271370933335</v>
      </c>
      <c r="H15" s="246" t="s">
        <v>10</v>
      </c>
      <c r="K15" s="312" t="s">
        <v>460</v>
      </c>
      <c r="L15" s="291">
        <f>(F15-E15)/E15</f>
        <v>0.1900116797520281</v>
      </c>
      <c r="M15" s="291">
        <f>(G15-F15)/F15</f>
        <v>0.15967211409602985</v>
      </c>
    </row>
    <row r="16" spans="1:14" x14ac:dyDescent="0.2">
      <c r="B16" s="273" t="s">
        <v>88</v>
      </c>
      <c r="C16" s="275" t="s">
        <v>376</v>
      </c>
      <c r="D16" s="246" t="s">
        <v>1067</v>
      </c>
      <c r="E16" s="336">
        <f>104937.7587*$K$2</f>
        <v>106826.6383566</v>
      </c>
      <c r="F16" s="317">
        <f>124877.1585*$K$2</f>
        <v>127124.94735300001</v>
      </c>
      <c r="G16" s="336">
        <f>144816.5584*$K$2</f>
        <v>147423.25645120002</v>
      </c>
      <c r="H16" s="246" t="s">
        <v>529</v>
      </c>
      <c r="K16" s="312" t="s">
        <v>461</v>
      </c>
      <c r="L16" s="291">
        <f>(G15-E15)/E15</f>
        <v>0.38002336045700208</v>
      </c>
    </row>
    <row r="17" spans="2:14" x14ac:dyDescent="0.2">
      <c r="B17" s="273" t="s">
        <v>88</v>
      </c>
      <c r="C17" s="275" t="s">
        <v>373</v>
      </c>
      <c r="D17" s="246" t="s">
        <v>53</v>
      </c>
      <c r="E17" s="314">
        <f>E16/2080</f>
        <v>51.358960748365384</v>
      </c>
      <c r="F17" s="314">
        <f>F16/2080</f>
        <v>61.117763150480776</v>
      </c>
      <c r="G17" s="314">
        <f>G16/2080</f>
        <v>70.876565601538474</v>
      </c>
      <c r="H17" s="246" t="s">
        <v>11</v>
      </c>
      <c r="K17" s="312"/>
      <c r="L17" s="291"/>
      <c r="M17" s="291"/>
      <c r="N17" s="291"/>
    </row>
    <row r="18" spans="2:14" x14ac:dyDescent="0.2">
      <c r="B18" s="273" t="s">
        <v>88</v>
      </c>
      <c r="C18" s="273" t="s">
        <v>635</v>
      </c>
      <c r="D18" s="251" t="s">
        <v>638</v>
      </c>
    </row>
    <row r="19" spans="2:14" x14ac:dyDescent="0.2">
      <c r="B19" s="273" t="s">
        <v>88</v>
      </c>
      <c r="C19" s="273" t="s">
        <v>634</v>
      </c>
      <c r="D19" s="251" t="s">
        <v>637</v>
      </c>
    </row>
    <row r="20" spans="2:14" x14ac:dyDescent="0.2">
      <c r="B20" s="273" t="s">
        <v>88</v>
      </c>
      <c r="C20" s="275" t="s">
        <v>374</v>
      </c>
      <c r="D20" s="276" t="s">
        <v>636</v>
      </c>
      <c r="E20" s="257"/>
      <c r="F20" s="257"/>
      <c r="G20" s="257"/>
      <c r="K20" s="312"/>
      <c r="L20" s="291"/>
      <c r="M20" s="291"/>
      <c r="N20" s="291"/>
    </row>
    <row r="21" spans="2:14" x14ac:dyDescent="0.2">
      <c r="B21" s="273" t="s">
        <v>88</v>
      </c>
      <c r="C21" s="275" t="s">
        <v>375</v>
      </c>
      <c r="D21" s="246" t="s">
        <v>55</v>
      </c>
    </row>
    <row r="22" spans="2:14" x14ac:dyDescent="0.2">
      <c r="B22" s="273" t="s">
        <v>88</v>
      </c>
      <c r="C22" s="275" t="s">
        <v>377</v>
      </c>
      <c r="D22" s="246" t="s">
        <v>54</v>
      </c>
    </row>
    <row r="24" spans="2:14" ht="35.1" customHeight="1" x14ac:dyDescent="0.2"/>
    <row r="26" spans="2:14" x14ac:dyDescent="0.2">
      <c r="C26" s="275"/>
    </row>
    <row r="27" spans="2:14" x14ac:dyDescent="0.2">
      <c r="C27" s="275"/>
    </row>
    <row r="30" spans="2:14" x14ac:dyDescent="0.2">
      <c r="C30" s="275"/>
    </row>
    <row r="31" spans="2:14" x14ac:dyDescent="0.2">
      <c r="C31" s="275"/>
    </row>
    <row r="34" spans="3:3" x14ac:dyDescent="0.2">
      <c r="C34" s="275"/>
    </row>
    <row r="35" spans="3:3" x14ac:dyDescent="0.2">
      <c r="C35" s="275"/>
    </row>
    <row r="38" spans="3:3" x14ac:dyDescent="0.2">
      <c r="C38" s="275"/>
    </row>
    <row r="39" spans="3:3" x14ac:dyDescent="0.2">
      <c r="C39" s="275"/>
    </row>
    <row r="40" spans="3:3" x14ac:dyDescent="0.2">
      <c r="C40" s="275"/>
    </row>
    <row r="41" spans="3:3" x14ac:dyDescent="0.2">
      <c r="C41" s="275"/>
    </row>
    <row r="43" spans="3:3" x14ac:dyDescent="0.2">
      <c r="C43" s="275"/>
    </row>
    <row r="44" spans="3:3" x14ac:dyDescent="0.2">
      <c r="C44" s="275"/>
    </row>
    <row r="47" spans="3:3" x14ac:dyDescent="0.2">
      <c r="C47" s="275"/>
    </row>
    <row r="48" spans="3:3" x14ac:dyDescent="0.2">
      <c r="C48" s="275"/>
    </row>
    <row r="51" spans="3:4" x14ac:dyDescent="0.2">
      <c r="C51" s="275"/>
    </row>
    <row r="52" spans="3:4" x14ac:dyDescent="0.2">
      <c r="C52" s="275"/>
    </row>
    <row r="53" spans="3:4" x14ac:dyDescent="0.2">
      <c r="C53" s="275"/>
    </row>
    <row r="54" spans="3:4" x14ac:dyDescent="0.2">
      <c r="C54" s="275"/>
    </row>
    <row r="56" spans="3:4" x14ac:dyDescent="0.2">
      <c r="C56" s="275"/>
      <c r="D56" s="276"/>
    </row>
    <row r="58" spans="3:4" x14ac:dyDescent="0.2">
      <c r="C58" s="275"/>
    </row>
    <row r="59" spans="3:4" x14ac:dyDescent="0.2">
      <c r="C59" s="275"/>
    </row>
    <row r="60" spans="3:4" x14ac:dyDescent="0.2">
      <c r="C60" s="275"/>
    </row>
    <row r="61" spans="3:4" x14ac:dyDescent="0.2">
      <c r="C61" s="275"/>
    </row>
    <row r="62" spans="3:4" x14ac:dyDescent="0.2">
      <c r="C62" s="275"/>
    </row>
    <row r="63" spans="3:4" x14ac:dyDescent="0.2">
      <c r="C63" s="275"/>
    </row>
    <row r="65" spans="3:4" x14ac:dyDescent="0.2">
      <c r="C65" s="275"/>
    </row>
    <row r="66" spans="3:4" x14ac:dyDescent="0.2">
      <c r="C66" s="275"/>
    </row>
    <row r="67" spans="3:4" x14ac:dyDescent="0.2">
      <c r="C67" s="275"/>
    </row>
    <row r="68" spans="3:4" x14ac:dyDescent="0.2">
      <c r="C68" s="275"/>
    </row>
    <row r="69" spans="3:4" x14ac:dyDescent="0.2">
      <c r="C69" s="275"/>
    </row>
    <row r="70" spans="3:4" x14ac:dyDescent="0.2">
      <c r="C70" s="275"/>
    </row>
    <row r="72" spans="3:4" x14ac:dyDescent="0.2">
      <c r="C72" s="275"/>
    </row>
    <row r="73" spans="3:4" x14ac:dyDescent="0.2">
      <c r="C73" s="275"/>
    </row>
    <row r="74" spans="3:4" x14ac:dyDescent="0.2">
      <c r="C74" s="275"/>
    </row>
    <row r="76" spans="3:4" x14ac:dyDescent="0.2">
      <c r="C76" s="275"/>
    </row>
    <row r="77" spans="3:4" x14ac:dyDescent="0.2">
      <c r="C77" s="275"/>
      <c r="D77" s="276"/>
    </row>
    <row r="78" spans="3:4" x14ac:dyDescent="0.2">
      <c r="C78" s="275"/>
    </row>
    <row r="79" spans="3:4" x14ac:dyDescent="0.2">
      <c r="C79" s="275"/>
    </row>
    <row r="82" spans="3:4" x14ac:dyDescent="0.2">
      <c r="C82" s="275"/>
    </row>
    <row r="83" spans="3:4" x14ac:dyDescent="0.2">
      <c r="C83" s="275"/>
      <c r="D83" s="315"/>
    </row>
    <row r="84" spans="3:4" x14ac:dyDescent="0.2">
      <c r="C84" s="275"/>
    </row>
    <row r="85" spans="3:4" x14ac:dyDescent="0.2">
      <c r="C85" s="275"/>
    </row>
    <row r="86" spans="3:4" x14ac:dyDescent="0.2">
      <c r="C86" s="275"/>
    </row>
    <row r="87" spans="3:4" x14ac:dyDescent="0.2">
      <c r="C87" s="275"/>
    </row>
    <row r="88" spans="3:4" x14ac:dyDescent="0.2">
      <c r="C88" s="275"/>
    </row>
    <row r="89" spans="3:4" x14ac:dyDescent="0.2">
      <c r="C89" s="275"/>
    </row>
    <row r="90" spans="3:4" x14ac:dyDescent="0.2">
      <c r="C90" s="275"/>
    </row>
    <row r="91" spans="3:4" x14ac:dyDescent="0.2">
      <c r="C91" s="275"/>
    </row>
    <row r="93" spans="3:4" x14ac:dyDescent="0.2">
      <c r="C93" s="275"/>
    </row>
    <row r="94" spans="3:4" x14ac:dyDescent="0.2">
      <c r="C94" s="275"/>
      <c r="D94" s="315"/>
    </row>
    <row r="95" spans="3:4" x14ac:dyDescent="0.2">
      <c r="C95" s="275"/>
    </row>
    <row r="96" spans="3:4" x14ac:dyDescent="0.2">
      <c r="C96" s="275"/>
    </row>
    <row r="97" spans="3:4" x14ac:dyDescent="0.2">
      <c r="C97" s="275"/>
    </row>
    <row r="98" spans="3:4" x14ac:dyDescent="0.2">
      <c r="C98" s="275"/>
      <c r="D98" s="276"/>
    </row>
    <row r="99" spans="3:4" x14ac:dyDescent="0.2">
      <c r="C99" s="275"/>
    </row>
    <row r="100" spans="3:4" x14ac:dyDescent="0.2">
      <c r="C100" s="275"/>
      <c r="D100" s="276"/>
    </row>
    <row r="101" spans="3:4" x14ac:dyDescent="0.2">
      <c r="C101" s="275"/>
    </row>
    <row r="102" spans="3:4" x14ac:dyDescent="0.2">
      <c r="C102" s="275"/>
    </row>
    <row r="103" spans="3:4" x14ac:dyDescent="0.2">
      <c r="C103" s="275"/>
    </row>
    <row r="104" spans="3:4" x14ac:dyDescent="0.2">
      <c r="C104" s="275"/>
    </row>
    <row r="105" spans="3:4" x14ac:dyDescent="0.2">
      <c r="C105" s="275"/>
    </row>
    <row r="108" spans="3:4" x14ac:dyDescent="0.2">
      <c r="C108" s="275"/>
    </row>
    <row r="109" spans="3:4" x14ac:dyDescent="0.2">
      <c r="C109" s="275"/>
    </row>
    <row r="110" spans="3:4" x14ac:dyDescent="0.2">
      <c r="C110" s="275"/>
    </row>
    <row r="111" spans="3:4" x14ac:dyDescent="0.2">
      <c r="C111" s="275"/>
    </row>
    <row r="112" spans="3:4" x14ac:dyDescent="0.2">
      <c r="C112" s="275"/>
    </row>
    <row r="113" spans="3:4" x14ac:dyDescent="0.2">
      <c r="C113" s="275"/>
    </row>
    <row r="115" spans="3:4" x14ac:dyDescent="0.2">
      <c r="C115" s="275"/>
    </row>
    <row r="116" spans="3:4" x14ac:dyDescent="0.2">
      <c r="C116" s="275"/>
      <c r="D116" s="315"/>
    </row>
    <row r="117" spans="3:4" x14ac:dyDescent="0.2">
      <c r="C117" s="275"/>
    </row>
    <row r="119" spans="3:4" x14ac:dyDescent="0.2">
      <c r="C119" s="275"/>
    </row>
    <row r="121" spans="3:4" x14ac:dyDescent="0.2">
      <c r="C121" s="275"/>
    </row>
    <row r="122" spans="3:4" x14ac:dyDescent="0.2">
      <c r="C122" s="275"/>
      <c r="D122" s="315"/>
    </row>
    <row r="123" spans="3:4" x14ac:dyDescent="0.2">
      <c r="C123" s="275"/>
    </row>
  </sheetData>
  <customSheetViews>
    <customSheetView guid="{03674138-A9FA-46A6-AB09-A74C70852C0D}" showPageBreaks="1" fitToPage="1" printArea="1" view="pageLayout">
      <selection activeCell="H21" sqref="H21"/>
      <pageMargins left="0.25" right="0.25" top="1.75" bottom="1" header="0.5" footer="0.5"/>
      <printOptions horizontalCentered="1" gridLines="1"/>
      <pageSetup scale="61" orientation="portrait" r:id="rId1"/>
      <headerFooter alignWithMargins="0">
        <oddHeader>&amp;L&amp;"Times New Roman,Regular"Ordinance #  (budget adoption)&amp;C&amp;"Times New Roman,Bold"&amp;16ATTACHMENT I
2016 CITY OF BELLEVUE PAY PLANS
MIDDLE MANAGEMENT
ASSISTANT AND DEPUTY DIRECTORS</oddHeader>
        <oddFooter>&amp;L&amp;"Times New Roman,Regular"* Position is exempt from overtime.&amp;C&amp;"Times New Roman,Bold"&amp;16&amp;A</oddFooter>
      </headerFooter>
    </customSheetView>
    <customSheetView guid="{6140C585-A678-4296-91B8-0C17DF653D09}" showPageBreaks="1" fitToPage="1" printArea="1" view="pageLayout">
      <selection sqref="A1:A2"/>
      <pageMargins left="0.25" right="0.25" top="1.75" bottom="1" header="0.5" footer="0.5"/>
      <printOptions horizontalCentered="1" gridLines="1"/>
      <pageSetup scale="62" orientation="portrait" r:id="rId2"/>
      <headerFooter alignWithMargins="0">
        <oddHeader>&amp;LOrdinance #  (budget adoption)&amp;C&amp;"Arial,Bold"&amp;16
2016 CITY OF BELLEVUE PAY PLANS
&amp;14MIDDLE MANAGEMENT
ASSISTANT AND DEPUTY DIRECTORS</oddHeader>
        <oddFooter xml:space="preserve">&amp;L* Position is exempt from overtime.&amp;C&amp;"Arial,Bold"&amp;16&amp;A&amp;REffective 01/01/16
System Update 01/xx/16 </oddFooter>
      </headerFooter>
    </customSheetView>
    <customSheetView guid="{49073133-97C6-4E81-BEFE-D9E658C173F7}" showPageBreaks="1" fitToPage="1" printArea="1" view="pageLayout">
      <selection sqref="A1:A2"/>
      <pageMargins left="0.25" right="0.25" top="1.75" bottom="1" header="0.5" footer="0.5"/>
      <printOptions horizontalCentered="1" gridLines="1"/>
      <pageSetup scale="61" orientation="portrait" r:id="rId3"/>
      <headerFooter alignWithMargins="0">
        <oddHeader>&amp;LOrdinance #  (budget adoption)&amp;C&amp;"Arial,Bold"&amp;16
2016 CITY OF BELLEVUE PAY PLANS
&amp;14MIDDLE MANAGEMENT
ASSISTANT AND DEPUTY DIRECTORS</oddHeader>
        <oddFooter xml:space="preserve">&amp;L* Position is exempt from overtime.&amp;C&amp;"Arial,Bold"&amp;16&amp;A&amp;REffective 01/01/16
System Update 01/xx/16 </oddFooter>
      </headerFooter>
    </customSheetView>
  </customSheetViews>
  <mergeCells count="7">
    <mergeCell ref="F1:F2"/>
    <mergeCell ref="G1:G2"/>
    <mergeCell ref="A1:A2"/>
    <mergeCell ref="C1:C2"/>
    <mergeCell ref="D1:D2"/>
    <mergeCell ref="E1:E2"/>
    <mergeCell ref="B1:B2"/>
  </mergeCells>
  <phoneticPr fontId="7" type="noConversion"/>
  <printOptions horizontalCentered="1" gridLines="1"/>
  <pageMargins left="0.25" right="0.25" top="1.75" bottom="1" header="0.5" footer="0.5"/>
  <pageSetup scale="98" orientation="portrait" r:id="rId4"/>
  <headerFooter alignWithMargins="0">
    <oddHeader>&amp;LOrdinance #6333 (budget adoption)&amp;C&amp;"Times New Roman,Bold"&amp;16
2017 CITY OF BELLEVUE PAY PLANS
&amp;14MIDDLE MANAGEMENT
ASSISTANT AND DEPUTY DIRECTORS</oddHeader>
    <oddFooter xml:space="preserve">&amp;L* Position is exempt from overtime.&amp;C&amp;"Arial,Bold"&amp;16&amp;A&amp;REffective 01/01/17
System Update 01/xx/17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G6"/>
  <sheetViews>
    <sheetView workbookViewId="0">
      <pane ySplit="3" topLeftCell="A4" activePane="bottomLeft" state="frozen"/>
      <selection pane="bottomLeft" activeCell="A4" sqref="A4"/>
    </sheetView>
  </sheetViews>
  <sheetFormatPr defaultColWidth="11.42578125" defaultRowHeight="12.75" x14ac:dyDescent="0.2"/>
  <cols>
    <col min="1" max="1" width="9.7109375" style="22" customWidth="1"/>
    <col min="2" max="2" width="17.7109375" style="7" customWidth="1"/>
    <col min="3" max="3" width="44" style="7" bestFit="1" customWidth="1"/>
    <col min="4" max="4" width="8.7109375" style="23" customWidth="1"/>
    <col min="5" max="5" width="1.7109375" style="7" customWidth="1"/>
    <col min="6" max="16384" width="11.42578125" style="7"/>
  </cols>
  <sheetData>
    <row r="1" spans="1:7" ht="20.100000000000001" customHeight="1" x14ac:dyDescent="0.2">
      <c r="A1" s="614" t="s">
        <v>629</v>
      </c>
      <c r="B1" s="614"/>
      <c r="C1" s="614"/>
      <c r="D1" s="614"/>
      <c r="E1" s="34"/>
    </row>
    <row r="2" spans="1:7" ht="13.5" thickBot="1" x14ac:dyDescent="0.25"/>
    <row r="3" spans="1:7" ht="39" thickBot="1" x14ac:dyDescent="0.25">
      <c r="A3" s="26" t="s">
        <v>469</v>
      </c>
      <c r="B3" s="26" t="s">
        <v>470</v>
      </c>
      <c r="C3" s="26" t="s">
        <v>471</v>
      </c>
      <c r="D3" s="27" t="s">
        <v>473</v>
      </c>
      <c r="E3" s="6"/>
      <c r="F3" s="6"/>
      <c r="G3" s="6"/>
    </row>
    <row r="4" spans="1:7" x14ac:dyDescent="0.2">
      <c r="A4" s="8"/>
      <c r="B4" s="9"/>
      <c r="C4" s="9"/>
      <c r="D4" s="10"/>
    </row>
    <row r="5" spans="1:7" ht="18" customHeight="1" x14ac:dyDescent="0.2">
      <c r="A5" s="11">
        <v>1001</v>
      </c>
      <c r="B5" s="42" t="s">
        <v>630</v>
      </c>
      <c r="C5" s="42" t="s">
        <v>631</v>
      </c>
      <c r="D5" s="12">
        <v>0.08</v>
      </c>
    </row>
    <row r="6" spans="1:7" ht="13.5" thickBot="1" x14ac:dyDescent="0.25">
      <c r="A6" s="14"/>
      <c r="B6" s="15"/>
      <c r="C6" s="16"/>
      <c r="D6" s="17"/>
    </row>
  </sheetData>
  <customSheetViews>
    <customSheetView guid="{03674138-A9FA-46A6-AB09-A74C70852C0D}" showPageBreaks="1" fitToPage="1" printArea="1" state="hidden">
      <pane ySplit="3" topLeftCell="A4" activePane="bottomLeft" state="frozen"/>
      <selection pane="bottomLeft" activeCell="A4" sqref="A4"/>
      <pageMargins left="0.25" right="0.25" top="1" bottom="1" header="0.5" footer="0.25"/>
      <printOptions horizontalCentered="1"/>
      <pageSetup fitToHeight="4" orientation="portrait" r:id="rId1"/>
      <headerFooter alignWithMargins="0">
        <oddFooter>&amp;C&amp;"Arial,Bold"&amp;16&amp;A</oddFooter>
      </headerFooter>
    </customSheetView>
    <customSheetView guid="{6140C585-A678-4296-91B8-0C17DF653D09}" fitToPage="1">
      <pane ySplit="3" topLeftCell="A4" activePane="bottomLeft" state="frozen"/>
      <selection pane="bottomLeft" activeCell="A4" sqref="A4"/>
      <pageMargins left="0.25" right="0.25" top="1" bottom="1" header="0.5" footer="0.25"/>
      <printOptions horizontalCentered="1"/>
      <pageSetup fitToHeight="4" orientation="portrait" r:id="rId2"/>
      <headerFooter alignWithMargins="0">
        <oddFooter>&amp;C&amp;"Arial,Bold"&amp;16&amp;A</oddFooter>
      </headerFooter>
    </customSheetView>
    <customSheetView guid="{49073133-97C6-4E81-BEFE-D9E658C173F7}" showPageBreaks="1" fitToPage="1" printArea="1">
      <pane ySplit="3" topLeftCell="A4" activePane="bottomLeft" state="frozen"/>
      <selection pane="bottomLeft" activeCell="A4" sqref="A4"/>
      <pageMargins left="0.25" right="0.25" top="1" bottom="1" header="0.5" footer="0.25"/>
      <printOptions horizontalCentered="1"/>
      <pageSetup fitToHeight="4" orientation="portrait" r:id="rId3"/>
      <headerFooter alignWithMargins="0">
        <oddFooter>&amp;C&amp;"Arial,Bold"&amp;16&amp;A</oddFooter>
      </headerFooter>
    </customSheetView>
  </customSheetViews>
  <mergeCells count="1">
    <mergeCell ref="A1:D1"/>
  </mergeCells>
  <phoneticPr fontId="7" type="noConversion"/>
  <printOptions horizontalCentered="1"/>
  <pageMargins left="0.25" right="0.25" top="1" bottom="1" header="0.5" footer="0.25"/>
  <pageSetup fitToHeight="4" orientation="portrait" r:id="rId4"/>
  <headerFooter alignWithMargins="0">
    <oddFooter>&amp;C&amp;"Arial,Bold"&amp;16&amp;A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J24"/>
  <sheetViews>
    <sheetView view="pageLayout" zoomScaleNormal="100" workbookViewId="0">
      <selection sqref="A1:A2"/>
    </sheetView>
  </sheetViews>
  <sheetFormatPr defaultColWidth="9.140625" defaultRowHeight="12.75" x14ac:dyDescent="0.2"/>
  <cols>
    <col min="1" max="1" width="5" style="273" customWidth="1"/>
    <col min="2" max="2" width="8.7109375" style="273" customWidth="1"/>
    <col min="3" max="3" width="37.7109375" style="246" customWidth="1"/>
    <col min="4" max="6" width="8.28515625" style="274" customWidth="1"/>
    <col min="7" max="8" width="11.140625" style="274" bestFit="1" customWidth="1"/>
    <col min="9" max="9" width="11.5703125" style="246" bestFit="1" customWidth="1"/>
    <col min="10" max="10" width="24.42578125" style="246" bestFit="1" customWidth="1"/>
    <col min="11" max="16384" width="9.140625" style="246"/>
  </cols>
  <sheetData>
    <row r="1" spans="1:10" s="261" customFormat="1" x14ac:dyDescent="0.2">
      <c r="A1" s="563" t="s">
        <v>559</v>
      </c>
      <c r="B1" s="565" t="s">
        <v>0</v>
      </c>
      <c r="C1" s="565" t="s">
        <v>1</v>
      </c>
      <c r="D1" s="562" t="s">
        <v>2</v>
      </c>
      <c r="E1" s="562"/>
      <c r="F1" s="562"/>
      <c r="G1" s="562"/>
      <c r="H1" s="562"/>
      <c r="I1" s="399">
        <v>2015</v>
      </c>
    </row>
    <row r="2" spans="1:10" s="264" customFormat="1" x14ac:dyDescent="0.2">
      <c r="A2" s="564"/>
      <c r="B2" s="564"/>
      <c r="C2" s="566"/>
      <c r="D2" s="320">
        <v>1</v>
      </c>
      <c r="E2" s="320">
        <v>2</v>
      </c>
      <c r="F2" s="320">
        <v>3</v>
      </c>
      <c r="G2" s="320">
        <v>4</v>
      </c>
      <c r="H2" s="320">
        <v>5</v>
      </c>
      <c r="I2" s="398"/>
    </row>
    <row r="3" spans="1:10" x14ac:dyDescent="0.2">
      <c r="A3" s="249" t="s">
        <v>708</v>
      </c>
      <c r="B3" s="266" t="s">
        <v>362</v>
      </c>
      <c r="C3" s="339" t="s">
        <v>538</v>
      </c>
      <c r="D3" s="258"/>
      <c r="E3" s="258"/>
      <c r="F3" s="258"/>
      <c r="G3" s="257">
        <f>+H3*94.17%</f>
        <v>8656.3861854113602</v>
      </c>
      <c r="H3" s="257">
        <f>+'F- Firefighters (rep)'!H3*126.5%</f>
        <v>9192.2971067339495</v>
      </c>
      <c r="I3" s="253" t="s">
        <v>10</v>
      </c>
      <c r="J3" s="246" t="s">
        <v>683</v>
      </c>
    </row>
    <row r="4" spans="1:10" x14ac:dyDescent="0.2">
      <c r="A4" s="249"/>
      <c r="B4" s="266" t="s">
        <v>363</v>
      </c>
      <c r="C4" s="251" t="s">
        <v>19</v>
      </c>
      <c r="D4" s="258"/>
      <c r="E4" s="258"/>
      <c r="F4" s="258"/>
      <c r="G4" s="257">
        <f>12*G3</f>
        <v>103876.63422493632</v>
      </c>
      <c r="H4" s="257">
        <f>12*H3</f>
        <v>110307.56528080739</v>
      </c>
      <c r="I4" s="253" t="s">
        <v>529</v>
      </c>
    </row>
    <row r="5" spans="1:10" x14ac:dyDescent="0.2">
      <c r="A5" s="249"/>
      <c r="B5" s="266"/>
      <c r="C5" s="251" t="s">
        <v>686</v>
      </c>
      <c r="D5" s="257"/>
      <c r="E5" s="257"/>
      <c r="F5" s="257"/>
      <c r="G5" s="257">
        <f>G4/2080</f>
        <v>49.940689531219384</v>
      </c>
      <c r="H5" s="257">
        <f>H4/2080</f>
        <v>53.032483308080479</v>
      </c>
      <c r="I5" s="253" t="s">
        <v>11</v>
      </c>
    </row>
    <row r="6" spans="1:10" x14ac:dyDescent="0.2">
      <c r="A6" s="249"/>
      <c r="B6" s="266"/>
      <c r="C6" s="251" t="s">
        <v>682</v>
      </c>
      <c r="D6" s="257"/>
      <c r="E6" s="257"/>
      <c r="F6" s="257"/>
      <c r="G6" s="257"/>
      <c r="H6" s="257"/>
      <c r="I6" s="253"/>
    </row>
    <row r="7" spans="1:10" x14ac:dyDescent="0.2">
      <c r="A7" s="249"/>
      <c r="B7" s="266"/>
      <c r="C7" s="251" t="s">
        <v>684</v>
      </c>
      <c r="D7" s="257"/>
      <c r="E7" s="257"/>
      <c r="F7" s="257"/>
      <c r="G7" s="257"/>
      <c r="H7" s="257"/>
      <c r="I7" s="253"/>
    </row>
    <row r="8" spans="1:10" x14ac:dyDescent="0.2">
      <c r="A8" s="249"/>
      <c r="B8" s="266"/>
      <c r="C8" s="251" t="s">
        <v>685</v>
      </c>
      <c r="D8" s="257"/>
      <c r="E8" s="257"/>
      <c r="F8" s="257"/>
      <c r="G8" s="257"/>
      <c r="H8" s="257"/>
      <c r="I8" s="253"/>
    </row>
    <row r="9" spans="1:10" ht="35.1" customHeight="1" x14ac:dyDescent="0.2">
      <c r="A9" s="249"/>
      <c r="B9" s="266"/>
      <c r="C9" s="253"/>
      <c r="D9" s="257"/>
      <c r="E9" s="257"/>
      <c r="F9" s="257"/>
      <c r="G9" s="257"/>
      <c r="H9" s="257"/>
      <c r="I9" s="253"/>
    </row>
    <row r="10" spans="1:10" x14ac:dyDescent="0.2">
      <c r="A10" s="249" t="s">
        <v>709</v>
      </c>
      <c r="B10" s="249" t="s">
        <v>464</v>
      </c>
      <c r="C10" s="253" t="s">
        <v>539</v>
      </c>
      <c r="D10" s="258"/>
      <c r="E10" s="258"/>
      <c r="F10" s="258"/>
      <c r="G10" s="257">
        <f>+H10*94.17%</f>
        <v>9522.0248039524959</v>
      </c>
      <c r="H10" s="257">
        <f>+'F- Firefighters (rep)'!H3*139.15%</f>
        <v>10111.526817407344</v>
      </c>
      <c r="I10" s="253" t="s">
        <v>10</v>
      </c>
      <c r="J10" s="246" t="s">
        <v>687</v>
      </c>
    </row>
    <row r="11" spans="1:10" x14ac:dyDescent="0.2">
      <c r="A11" s="249"/>
      <c r="B11" s="249" t="s">
        <v>465</v>
      </c>
      <c r="C11" s="253" t="s">
        <v>792</v>
      </c>
      <c r="D11" s="258"/>
      <c r="E11" s="258"/>
      <c r="F11" s="258"/>
      <c r="G11" s="257">
        <f>12*G10</f>
        <v>114264.29764742995</v>
      </c>
      <c r="H11" s="257">
        <f>12*H10</f>
        <v>121338.32180888814</v>
      </c>
      <c r="I11" s="253" t="s">
        <v>529</v>
      </c>
    </row>
    <row r="12" spans="1:10" x14ac:dyDescent="0.2">
      <c r="A12" s="249"/>
      <c r="B12" s="249"/>
      <c r="C12" s="253"/>
      <c r="D12" s="258"/>
      <c r="E12" s="258"/>
      <c r="F12" s="258"/>
      <c r="G12" s="257">
        <f>G11/2080</f>
        <v>54.934758484341323</v>
      </c>
      <c r="H12" s="257">
        <f>H11/2080</f>
        <v>58.335731638888532</v>
      </c>
      <c r="I12" s="253" t="s">
        <v>11</v>
      </c>
    </row>
    <row r="13" spans="1:10" x14ac:dyDescent="0.2">
      <c r="A13" s="249"/>
      <c r="B13" s="249"/>
      <c r="C13" s="253"/>
      <c r="D13" s="258"/>
      <c r="E13" s="258"/>
      <c r="F13" s="258"/>
      <c r="G13" s="258"/>
      <c r="H13" s="258"/>
      <c r="I13" s="253"/>
    </row>
    <row r="14" spans="1:10" x14ac:dyDescent="0.2">
      <c r="A14" s="249"/>
      <c r="B14" s="249"/>
      <c r="C14" s="253"/>
      <c r="D14" s="258"/>
      <c r="E14" s="258"/>
      <c r="F14" s="258"/>
      <c r="G14" s="258"/>
      <c r="H14" s="258"/>
      <c r="I14" s="253"/>
    </row>
    <row r="15" spans="1:10" x14ac:dyDescent="0.2">
      <c r="A15" s="249"/>
      <c r="B15" s="266"/>
      <c r="C15" s="251" t="s">
        <v>678</v>
      </c>
      <c r="D15" s="258"/>
      <c r="E15" s="258"/>
      <c r="F15" s="258"/>
      <c r="G15" s="258"/>
      <c r="H15" s="257">
        <f>+'F- Firefighters (rep)'!H3*110%</f>
        <v>7993.3018319425655</v>
      </c>
      <c r="I15" s="253" t="s">
        <v>10</v>
      </c>
      <c r="J15" s="246" t="s">
        <v>680</v>
      </c>
    </row>
    <row r="16" spans="1:10" x14ac:dyDescent="0.2">
      <c r="A16" s="249"/>
      <c r="B16" s="249"/>
      <c r="C16" s="253"/>
      <c r="D16" s="258"/>
      <c r="E16" s="258"/>
      <c r="F16" s="258"/>
      <c r="G16" s="258"/>
      <c r="H16" s="257">
        <f>12*H15</f>
        <v>95919.62198331079</v>
      </c>
      <c r="I16" s="253" t="s">
        <v>529</v>
      </c>
    </row>
    <row r="17" spans="1:10" x14ac:dyDescent="0.2">
      <c r="A17" s="249"/>
      <c r="B17" s="249"/>
      <c r="C17" s="253"/>
      <c r="D17" s="258"/>
      <c r="E17" s="258"/>
      <c r="F17" s="258"/>
      <c r="G17" s="258"/>
      <c r="H17" s="252">
        <f>H16/2080</f>
        <v>46.115202876591724</v>
      </c>
      <c r="I17" s="253" t="s">
        <v>11</v>
      </c>
    </row>
    <row r="18" spans="1:10" x14ac:dyDescent="0.2">
      <c r="A18" s="249"/>
      <c r="B18" s="249"/>
      <c r="C18" s="253"/>
      <c r="D18" s="258"/>
      <c r="E18" s="258"/>
      <c r="F18" s="258"/>
      <c r="G18" s="258"/>
      <c r="H18" s="257"/>
      <c r="I18" s="253"/>
    </row>
    <row r="19" spans="1:10" x14ac:dyDescent="0.2">
      <c r="A19" s="249"/>
      <c r="B19" s="266"/>
      <c r="C19" s="251" t="s">
        <v>679</v>
      </c>
      <c r="D19" s="258"/>
      <c r="E19" s="258"/>
      <c r="F19" s="258"/>
      <c r="G19" s="258"/>
      <c r="H19" s="257">
        <f>+'F- Firefighters (rep)'!H3*115.5%</f>
        <v>8392.9669235396923</v>
      </c>
      <c r="I19" s="253" t="s">
        <v>10</v>
      </c>
      <c r="J19" s="246" t="s">
        <v>681</v>
      </c>
    </row>
    <row r="20" spans="1:10" x14ac:dyDescent="0.2">
      <c r="A20" s="249"/>
      <c r="B20" s="249"/>
      <c r="C20" s="253"/>
      <c r="D20" s="258"/>
      <c r="E20" s="258"/>
      <c r="F20" s="258"/>
      <c r="G20" s="258"/>
      <c r="H20" s="257">
        <f>12*H19</f>
        <v>100715.6030824763</v>
      </c>
      <c r="I20" s="253" t="s">
        <v>529</v>
      </c>
    </row>
    <row r="21" spans="1:10" x14ac:dyDescent="0.2">
      <c r="A21" s="249"/>
      <c r="B21" s="249"/>
      <c r="C21" s="253"/>
      <c r="D21" s="258"/>
      <c r="E21" s="258"/>
      <c r="F21" s="258"/>
      <c r="G21" s="258"/>
      <c r="H21" s="252">
        <f>H20/2080</f>
        <v>48.420963020421297</v>
      </c>
      <c r="I21" s="253" t="s">
        <v>11</v>
      </c>
    </row>
    <row r="22" spans="1:10" ht="15.75" x14ac:dyDescent="0.25">
      <c r="A22" s="249"/>
      <c r="B22" s="249"/>
      <c r="C22" s="374"/>
      <c r="D22" s="258"/>
      <c r="E22" s="258"/>
      <c r="F22" s="258"/>
      <c r="G22" s="258"/>
      <c r="H22" s="257"/>
      <c r="I22" s="253"/>
    </row>
    <row r="23" spans="1:10" x14ac:dyDescent="0.2">
      <c r="A23" s="619" t="s">
        <v>1003</v>
      </c>
      <c r="B23" s="619"/>
      <c r="C23" s="619"/>
      <c r="D23" s="619"/>
      <c r="E23" s="619"/>
      <c r="F23" s="619"/>
      <c r="G23" s="619"/>
      <c r="H23" s="619"/>
      <c r="I23" s="619"/>
    </row>
    <row r="24" spans="1:10" x14ac:dyDescent="0.2">
      <c r="B24" s="618"/>
      <c r="C24" s="618"/>
    </row>
  </sheetData>
  <customSheetViews>
    <customSheetView guid="{03674138-A9FA-46A6-AB09-A74C70852C0D}" showPageBreaks="1" printArea="1" view="pageLayout">
      <selection activeCell="D9" sqref="D9"/>
      <pageMargins left="0.25" right="0.25" top="2" bottom="1" header="0.5" footer="0.5"/>
      <printOptions horizontalCentered="1" gridLines="1"/>
      <pageSetup scale="94" orientation="portrait" r:id="rId1"/>
      <headerFooter alignWithMargins="0">
        <oddHeader>&amp;L&amp;"Times New Roman,Regular"Ordinance #  (budget adoption)
Resolution #8610 (contract adoption)&amp;C&amp;"Times New Roman,Bold"&amp;16
ATTACHMENT I
2015 CITY OF BELLEVUE PAY PLANS
INTERNATIONAL ASSOC OF FIREFIGHTERS UNION, LOCAL #1604
ADMINISTRATIVE PERSONNEL</oddHeader>
        <oddFooter>&amp;C&amp;"Times New Roman,Bold"&amp;16&amp;A</oddFooter>
      </headerFooter>
    </customSheetView>
    <customSheetView guid="{6140C585-A678-4296-91B8-0C17DF653D09}" showPageBreaks="1" printArea="1" view="pageLayout">
      <selection sqref="A1:A2"/>
      <pageMargins left="0.25" right="0.25" top="2" bottom="1" header="0.5" footer="0.5"/>
      <printOptions horizontalCentered="1" gridLines="1"/>
      <pageSetup scale="94" orientation="portrait" r:id="rId2"/>
      <headerFooter alignWithMargins="0">
        <oddHeader>&amp;LOrdinance #  (budget adoption)
Resolution #8610 (contract adoption)&amp;C&amp;"Arial,Bold"&amp;16
2015 CITY OF BELLEVUE PAY PLANS
&amp;14INTERNATIONAL ASSOCIATION OF FIREFIGHTERS UNION, LOCAL #1604
ADMINISTRATIVE PERSONNEL</oddHeader>
        <oddFooter xml:space="preserve">&amp;C&amp;"Arial,Bold"&amp;16&amp;A&amp;REffective 01/01/15,
System Update 01/xx/15 </oddFooter>
      </headerFooter>
    </customSheetView>
    <customSheetView guid="{49073133-97C6-4E81-BEFE-D9E658C173F7}" showPageBreaks="1" printArea="1" view="pageLayout">
      <selection sqref="A1:A2"/>
      <pageMargins left="0.25" right="0.25" top="2" bottom="1" header="0.5" footer="0.5"/>
      <printOptions horizontalCentered="1" gridLines="1"/>
      <pageSetup scale="94" orientation="portrait" r:id="rId3"/>
      <headerFooter alignWithMargins="0">
        <oddHeader>&amp;LOrdinance #  (budget adoption)
Resolution #8610 (contract adoption)&amp;C&amp;"Arial,Bold"&amp;16
2015 CITY OF BELLEVUE PAY PLANS
&amp;14INTERNATIONAL ASSOCIATION OF FIREFIGHTERS UNION, LOCAL #1604
ADMINISTRATIVE PERSONNEL</oddHeader>
        <oddFooter xml:space="preserve">&amp;C&amp;"Arial,Bold"&amp;16&amp;A&amp;REffective 01/01/15,
System Update 01/xx/15 </oddFooter>
      </headerFooter>
    </customSheetView>
  </customSheetViews>
  <mergeCells count="6">
    <mergeCell ref="B24:C24"/>
    <mergeCell ref="A1:A2"/>
    <mergeCell ref="B1:B2"/>
    <mergeCell ref="C1:C2"/>
    <mergeCell ref="D1:H1"/>
    <mergeCell ref="A23:I23"/>
  </mergeCells>
  <phoneticPr fontId="7" type="noConversion"/>
  <printOptions horizontalCentered="1" gridLines="1"/>
  <pageMargins left="0.25" right="0.25" top="2" bottom="1" header="0.5" footer="0.5"/>
  <pageSetup scale="94" orientation="portrait" r:id="rId4"/>
  <headerFooter alignWithMargins="0">
    <oddHeader xml:space="preserve">&amp;LOrdinance #6333 (pay plan adoption)
Resolution #8610 (contract adoption)&amp;C&amp;"Times New Roman,Bold"&amp;16
2015 CITY OF BELLEVUE PAY PLANS
&amp;14INTERNATIONAL ASSOCIATION OF FIREFIGHTERS UNION, LOCAL #1604
ADMINISTRATIVE PERSONNEL
</oddHeader>
    <oddFooter xml:space="preserve">&amp;C&amp;"Arial,Bold"&amp;16&amp;A&amp;REffective 01/01/15,
System Update 01/xx/15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view="pageLayout" zoomScale="115" zoomScaleNormal="100" zoomScalePageLayoutView="115" workbookViewId="0">
      <selection sqref="A1:A2"/>
    </sheetView>
  </sheetViews>
  <sheetFormatPr defaultColWidth="9.140625" defaultRowHeight="12.75" x14ac:dyDescent="0.2"/>
  <cols>
    <col min="1" max="1" width="5" style="479" customWidth="1"/>
    <col min="2" max="2" width="8.28515625" style="479" customWidth="1"/>
    <col min="3" max="3" width="25.7109375" style="296" customWidth="1"/>
    <col min="4" max="4" width="17.5703125" style="367" customWidth="1"/>
    <col min="5" max="6" width="10.7109375" style="367" customWidth="1"/>
    <col min="7" max="7" width="11.7109375" style="367" bestFit="1" customWidth="1"/>
    <col min="8" max="8" width="12.28515625" style="367" customWidth="1"/>
    <col min="9" max="9" width="10.7109375" style="296" bestFit="1" customWidth="1"/>
    <col min="10" max="11" width="9.140625" style="296"/>
    <col min="12" max="12" width="17" style="296" bestFit="1" customWidth="1"/>
    <col min="13" max="16384" width="9.140625" style="296"/>
  </cols>
  <sheetData>
    <row r="1" spans="1:17" s="280" customFormat="1" x14ac:dyDescent="0.2">
      <c r="A1" s="545" t="s">
        <v>559</v>
      </c>
      <c r="B1" s="593" t="s">
        <v>0</v>
      </c>
      <c r="C1" s="593" t="s">
        <v>1</v>
      </c>
      <c r="D1" s="592" t="s">
        <v>2</v>
      </c>
      <c r="E1" s="592"/>
      <c r="F1" s="592"/>
      <c r="G1" s="592"/>
      <c r="H1" s="592"/>
      <c r="I1" s="513">
        <v>2017</v>
      </c>
      <c r="L1" s="350">
        <v>2017</v>
      </c>
      <c r="M1" s="550" t="s">
        <v>2</v>
      </c>
      <c r="N1" s="550"/>
      <c r="O1" s="550"/>
      <c r="P1" s="550"/>
      <c r="Q1" s="550"/>
    </row>
    <row r="2" spans="1:17" s="478" customFormat="1" x14ac:dyDescent="0.2">
      <c r="A2" s="546"/>
      <c r="B2" s="546"/>
      <c r="C2" s="594"/>
      <c r="D2" s="351">
        <v>1</v>
      </c>
      <c r="E2" s="351">
        <v>2</v>
      </c>
      <c r="F2" s="351">
        <v>3</v>
      </c>
      <c r="G2" s="351">
        <v>4</v>
      </c>
      <c r="H2" s="351">
        <v>5</v>
      </c>
      <c r="I2" s="480"/>
      <c r="L2" s="485">
        <v>1.03</v>
      </c>
      <c r="M2" s="284" t="s">
        <v>455</v>
      </c>
      <c r="N2" s="284" t="s">
        <v>456</v>
      </c>
      <c r="O2" s="284" t="s">
        <v>457</v>
      </c>
      <c r="P2" s="284" t="s">
        <v>458</v>
      </c>
      <c r="Q2" s="284">
        <v>5</v>
      </c>
    </row>
    <row r="3" spans="1:17" x14ac:dyDescent="0.2">
      <c r="A3" s="360" t="s">
        <v>89</v>
      </c>
      <c r="B3" s="360" t="s">
        <v>365</v>
      </c>
      <c r="C3" s="357" t="s">
        <v>36</v>
      </c>
      <c r="D3" s="381">
        <f>ROUND((5176.96*$L$2),2)</f>
        <v>5332.27</v>
      </c>
      <c r="E3" s="381">
        <f>ROUND((5600.29*$L$2),2)</f>
        <v>5768.3</v>
      </c>
      <c r="F3" s="381">
        <f>ROUND((6289.26*$L$2),2)</f>
        <v>6477.94</v>
      </c>
      <c r="G3" s="381">
        <f>ROUND((6730.78*$L$2),2)</f>
        <v>6932.7</v>
      </c>
      <c r="H3" s="381">
        <f>ROUND((7172.3*$L$2),2)</f>
        <v>7387.47</v>
      </c>
      <c r="I3" s="357" t="s">
        <v>10</v>
      </c>
      <c r="L3" s="290" t="s">
        <v>460</v>
      </c>
      <c r="M3" s="291">
        <f>(E3-D3)/D3</f>
        <v>8.1771928278200415E-2</v>
      </c>
      <c r="N3" s="291">
        <f>(F3-E3)/E3</f>
        <v>0.12302411455714844</v>
      </c>
      <c r="O3" s="291">
        <f>(G3-F3)/F3</f>
        <v>7.0201329434974744E-2</v>
      </c>
      <c r="P3" s="291">
        <f>(H3-G3)/G3</f>
        <v>6.5597819031546212E-2</v>
      </c>
      <c r="Q3" s="291"/>
    </row>
    <row r="4" spans="1:17" x14ac:dyDescent="0.2">
      <c r="A4" s="477"/>
      <c r="B4" s="477"/>
      <c r="C4" s="357"/>
      <c r="D4" s="295">
        <f>D3*12</f>
        <v>63987.240000000005</v>
      </c>
      <c r="E4" s="295">
        <f>E3*12</f>
        <v>69219.600000000006</v>
      </c>
      <c r="F4" s="295">
        <f>F3*12</f>
        <v>77735.28</v>
      </c>
      <c r="G4" s="295">
        <f>G3*12</f>
        <v>83192.399999999994</v>
      </c>
      <c r="H4" s="295">
        <f>H3*12</f>
        <v>88649.64</v>
      </c>
      <c r="I4" s="357" t="s">
        <v>529</v>
      </c>
      <c r="L4" s="290" t="s">
        <v>461</v>
      </c>
      <c r="M4" s="291">
        <f>(H3-G3)/G3</f>
        <v>6.5597819031546212E-2</v>
      </c>
    </row>
    <row r="5" spans="1:17" x14ac:dyDescent="0.2">
      <c r="A5" s="477"/>
      <c r="B5" s="477"/>
      <c r="C5" s="357"/>
      <c r="D5" s="295">
        <f>D4/2080</f>
        <v>30.763096153846156</v>
      </c>
      <c r="E5" s="295">
        <f>E4/2080</f>
        <v>33.278653846153851</v>
      </c>
      <c r="F5" s="295">
        <f>F4/2080</f>
        <v>37.37273076923077</v>
      </c>
      <c r="G5" s="295">
        <f>G4/2080</f>
        <v>39.996346153846154</v>
      </c>
      <c r="H5" s="295">
        <f>H4/2080</f>
        <v>42.62001923076923</v>
      </c>
      <c r="I5" s="357" t="s">
        <v>11</v>
      </c>
      <c r="L5" s="290" t="s">
        <v>462</v>
      </c>
      <c r="M5" s="291"/>
      <c r="N5" s="291"/>
      <c r="O5" s="291"/>
      <c r="P5" s="291"/>
      <c r="Q5" s="291">
        <f>(H7-H3)/H3</f>
        <v>7.9824351232559973E-2</v>
      </c>
    </row>
    <row r="6" spans="1:17" ht="35.1" customHeight="1" x14ac:dyDescent="0.2">
      <c r="A6" s="477"/>
      <c r="B6" s="477"/>
      <c r="C6" s="496"/>
      <c r="D6" s="295"/>
      <c r="E6" s="295"/>
      <c r="F6" s="295"/>
      <c r="G6" s="295"/>
      <c r="H6" s="295"/>
      <c r="I6" s="357"/>
      <c r="L6" s="290"/>
      <c r="M6" s="291"/>
      <c r="N6" s="291"/>
      <c r="O6" s="291"/>
      <c r="P6" s="291"/>
      <c r="Q6" s="291"/>
    </row>
    <row r="7" spans="1:17" x14ac:dyDescent="0.2">
      <c r="A7" s="360" t="s">
        <v>597</v>
      </c>
      <c r="B7" s="360" t="s">
        <v>596</v>
      </c>
      <c r="C7" s="356" t="s">
        <v>595</v>
      </c>
      <c r="D7" s="381"/>
      <c r="E7" s="381"/>
      <c r="F7" s="381"/>
      <c r="G7" s="381"/>
      <c r="H7" s="381">
        <f>ROUND((7744.83*$L$2),2)</f>
        <v>7977.17</v>
      </c>
      <c r="I7" s="357" t="s">
        <v>10</v>
      </c>
      <c r="L7" s="290" t="s">
        <v>460</v>
      </c>
      <c r="M7" s="291"/>
      <c r="N7" s="291"/>
      <c r="O7" s="291"/>
      <c r="P7" s="291"/>
      <c r="Q7" s="291"/>
    </row>
    <row r="8" spans="1:17" x14ac:dyDescent="0.2">
      <c r="A8" s="477"/>
      <c r="B8" s="477"/>
      <c r="C8" s="357"/>
      <c r="D8" s="295"/>
      <c r="E8" s="295"/>
      <c r="F8" s="382"/>
      <c r="G8" s="295"/>
      <c r="H8" s="295">
        <f>H7*12</f>
        <v>95726.040000000008</v>
      </c>
      <c r="I8" s="357" t="s">
        <v>529</v>
      </c>
      <c r="L8" s="290" t="s">
        <v>461</v>
      </c>
      <c r="M8" s="291"/>
    </row>
    <row r="9" spans="1:17" x14ac:dyDescent="0.2">
      <c r="A9" s="477"/>
      <c r="B9" s="477"/>
      <c r="C9" s="357"/>
      <c r="D9" s="295"/>
      <c r="E9" s="295"/>
      <c r="F9" s="295"/>
      <c r="G9" s="295"/>
      <c r="H9" s="295">
        <f>H8/2080</f>
        <v>46.022134615384623</v>
      </c>
      <c r="I9" s="357" t="s">
        <v>11</v>
      </c>
      <c r="L9" s="290" t="s">
        <v>462</v>
      </c>
      <c r="M9" s="291"/>
      <c r="N9" s="291"/>
      <c r="O9" s="291"/>
      <c r="P9" s="291"/>
      <c r="Q9" s="291">
        <f>(H11-H7)/H7</f>
        <v>0.10766976258497683</v>
      </c>
    </row>
    <row r="10" spans="1:17" ht="35.1" customHeight="1" x14ac:dyDescent="0.2">
      <c r="A10" s="477"/>
      <c r="B10" s="477"/>
      <c r="C10" s="357"/>
      <c r="D10" s="295"/>
      <c r="E10" s="295"/>
      <c r="F10" s="295"/>
      <c r="G10" s="295"/>
      <c r="H10" s="295"/>
      <c r="I10" s="357"/>
    </row>
    <row r="11" spans="1:17" x14ac:dyDescent="0.2">
      <c r="A11" s="360" t="s">
        <v>90</v>
      </c>
      <c r="B11" s="360" t="s">
        <v>366</v>
      </c>
      <c r="C11" s="357" t="s">
        <v>1048</v>
      </c>
      <c r="D11" s="295"/>
      <c r="E11" s="295"/>
      <c r="F11" s="382"/>
      <c r="G11" s="381">
        <f>ROUND((8202.63*$L$2),2)</f>
        <v>8448.7099999999991</v>
      </c>
      <c r="H11" s="381">
        <f>ROUND((8578.71*$L$2),2)</f>
        <v>8836.07</v>
      </c>
      <c r="I11" s="357" t="s">
        <v>10</v>
      </c>
      <c r="L11" s="290" t="s">
        <v>460</v>
      </c>
      <c r="M11" s="291"/>
      <c r="N11" s="291"/>
      <c r="O11" s="291"/>
      <c r="P11" s="291">
        <f>(H11-G11)/G11</f>
        <v>4.584841946285298E-2</v>
      </c>
      <c r="Q11" s="291"/>
    </row>
    <row r="12" spans="1:17" x14ac:dyDescent="0.2">
      <c r="A12" s="477"/>
      <c r="B12" s="360"/>
      <c r="C12" s="357"/>
      <c r="D12" s="295"/>
      <c r="E12" s="295"/>
      <c r="F12" s="295"/>
      <c r="G12" s="295">
        <f>G11*12</f>
        <v>101384.51999999999</v>
      </c>
      <c r="H12" s="295">
        <f>H11*12</f>
        <v>106032.84</v>
      </c>
      <c r="I12" s="357" t="s">
        <v>529</v>
      </c>
      <c r="L12" s="290" t="s">
        <v>461</v>
      </c>
      <c r="M12" s="291">
        <f>(H11-G11)/G11</f>
        <v>4.584841946285298E-2</v>
      </c>
    </row>
    <row r="13" spans="1:17" ht="15.6" customHeight="1" x14ac:dyDescent="0.2">
      <c r="A13" s="477"/>
      <c r="B13" s="360"/>
      <c r="C13" s="620" t="s">
        <v>1054</v>
      </c>
      <c r="D13" s="295"/>
      <c r="E13" s="295"/>
      <c r="F13" s="295"/>
      <c r="G13" s="295">
        <f>G12/2080</f>
        <v>48.742557692307685</v>
      </c>
      <c r="H13" s="295">
        <f>H12/2080</f>
        <v>50.977326923076923</v>
      </c>
      <c r="I13" s="357" t="s">
        <v>11</v>
      </c>
    </row>
    <row r="14" spans="1:17" ht="35.1" customHeight="1" x14ac:dyDescent="0.2">
      <c r="A14" s="484"/>
      <c r="B14" s="477"/>
      <c r="C14" s="620"/>
      <c r="D14" s="426"/>
      <c r="E14" s="426"/>
      <c r="F14" s="426"/>
      <c r="G14" s="426"/>
      <c r="H14" s="426"/>
      <c r="I14" s="357"/>
    </row>
    <row r="15" spans="1:17" x14ac:dyDescent="0.2">
      <c r="G15" s="291"/>
    </row>
    <row r="20" spans="3:4" x14ac:dyDescent="0.2">
      <c r="C20" s="483"/>
    </row>
    <row r="22" spans="3:4" x14ac:dyDescent="0.2">
      <c r="D22" s="368"/>
    </row>
  </sheetData>
  <mergeCells count="6">
    <mergeCell ref="M1:Q1"/>
    <mergeCell ref="C13:C14"/>
    <mergeCell ref="A1:A2"/>
    <mergeCell ref="B1:B2"/>
    <mergeCell ref="C1:C2"/>
    <mergeCell ref="D1:H1"/>
  </mergeCells>
  <printOptions horizontalCentered="1" gridLines="1"/>
  <pageMargins left="0.25" right="0.25" top="2" bottom="1" header="0.5" footer="0.5"/>
  <pageSetup scale="92" orientation="portrait" r:id="rId1"/>
  <headerFooter alignWithMargins="0">
    <oddHeader>&amp;LOrdinance #6333 (budget adoption)
Resolution # 9157 (contract adoption)&amp;C&amp;"Times New Roman,Bold"&amp;16
&amp;K000000
2017 CITY OF BELLEVUE PAY PLANS
&amp;14BELLEVUE POLICE OFFICERS GUILD
OFFICERS, CORPORALS AND SERGEANTS</oddHeader>
    <oddFooter>&amp;C&amp;"Arial,Bold"&amp;16&amp;A&amp;REffective 01/01/17
System Update 01/xx/17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O46"/>
  <sheetViews>
    <sheetView showWhiteSpace="0" view="pageLayout" zoomScaleNormal="100" workbookViewId="0"/>
  </sheetViews>
  <sheetFormatPr defaultColWidth="11.42578125" defaultRowHeight="12.75" x14ac:dyDescent="0.2"/>
  <cols>
    <col min="1" max="1" width="6.7109375" style="22" customWidth="1"/>
    <col min="2" max="2" width="11.5703125" style="7" bestFit="1" customWidth="1"/>
    <col min="3" max="3" width="22.7109375" style="7" customWidth="1"/>
    <col min="4" max="4" width="8.7109375" style="23" customWidth="1"/>
    <col min="5" max="5" width="10.7109375" style="24" customWidth="1"/>
    <col min="6" max="9" width="10.7109375" style="7" customWidth="1"/>
    <col min="10" max="16384" width="11.42578125" style="7"/>
  </cols>
  <sheetData>
    <row r="1" spans="1:9" s="35" customFormat="1" ht="64.5" customHeight="1" thickBot="1" x14ac:dyDescent="0.25">
      <c r="A1" s="123" t="s">
        <v>469</v>
      </c>
      <c r="B1" s="123" t="s">
        <v>470</v>
      </c>
      <c r="C1" s="123" t="s">
        <v>471</v>
      </c>
      <c r="D1" s="124" t="s">
        <v>472</v>
      </c>
      <c r="E1" s="125" t="s">
        <v>556</v>
      </c>
      <c r="F1" s="623" t="s">
        <v>1066</v>
      </c>
      <c r="G1" s="624"/>
      <c r="H1" s="624"/>
      <c r="I1" s="624"/>
    </row>
    <row r="2" spans="1:9" ht="12.75" customHeight="1" x14ac:dyDescent="0.2">
      <c r="A2" s="126"/>
      <c r="B2" s="127"/>
      <c r="C2" s="127"/>
      <c r="D2" s="128"/>
      <c r="E2" s="129"/>
      <c r="F2" s="623"/>
      <c r="G2" s="624"/>
      <c r="H2" s="624"/>
      <c r="I2" s="624"/>
    </row>
    <row r="3" spans="1:9" ht="12.75" customHeight="1" x14ac:dyDescent="0.2">
      <c r="A3" s="130">
        <v>1015</v>
      </c>
      <c r="B3" s="131" t="s">
        <v>580</v>
      </c>
      <c r="C3" s="131" t="s">
        <v>581</v>
      </c>
      <c r="D3" s="132">
        <v>0.03</v>
      </c>
      <c r="E3" s="133">
        <f>'P-Police (rep)'!$H$3*D3</f>
        <v>221.6241</v>
      </c>
      <c r="F3" s="623"/>
      <c r="G3" s="624"/>
      <c r="H3" s="624"/>
      <c r="I3" s="624"/>
    </row>
    <row r="4" spans="1:9" x14ac:dyDescent="0.2">
      <c r="A4" s="130">
        <v>1017</v>
      </c>
      <c r="B4" s="131" t="s">
        <v>580</v>
      </c>
      <c r="C4" s="131" t="s">
        <v>582</v>
      </c>
      <c r="D4" s="132">
        <v>0.04</v>
      </c>
      <c r="E4" s="133">
        <f>'P-Police (rep)'!$H$3*D4</f>
        <v>295.49880000000002</v>
      </c>
      <c r="F4" s="240"/>
      <c r="G4" s="134"/>
      <c r="H4" s="134"/>
      <c r="I4" s="134"/>
    </row>
    <row r="5" spans="1:9" x14ac:dyDescent="0.2">
      <c r="A5" s="130">
        <v>1019</v>
      </c>
      <c r="B5" s="131" t="s">
        <v>580</v>
      </c>
      <c r="C5" s="131" t="s">
        <v>583</v>
      </c>
      <c r="D5" s="132">
        <v>4.4999999999999998E-2</v>
      </c>
      <c r="E5" s="133">
        <f>'P-Police (rep)'!$H$3*D5</f>
        <v>332.43615</v>
      </c>
      <c r="F5" s="134"/>
      <c r="G5" s="134"/>
      <c r="H5" s="134"/>
      <c r="I5" s="134"/>
    </row>
    <row r="6" spans="1:9" x14ac:dyDescent="0.2">
      <c r="A6" s="130">
        <v>1021</v>
      </c>
      <c r="B6" s="131" t="s">
        <v>580</v>
      </c>
      <c r="C6" s="131" t="s">
        <v>584</v>
      </c>
      <c r="D6" s="132">
        <v>0.05</v>
      </c>
      <c r="E6" s="133">
        <f>'P-Police (rep)'!$H$3*D6</f>
        <v>369.37350000000004</v>
      </c>
      <c r="F6" s="134"/>
      <c r="G6" s="134"/>
      <c r="H6" s="134"/>
      <c r="I6" s="134"/>
    </row>
    <row r="7" spans="1:9" x14ac:dyDescent="0.2">
      <c r="A7" s="130">
        <v>1023</v>
      </c>
      <c r="B7" s="131" t="s">
        <v>580</v>
      </c>
      <c r="C7" s="131" t="s">
        <v>585</v>
      </c>
      <c r="D7" s="132">
        <v>0.06</v>
      </c>
      <c r="E7" s="133">
        <f>'P-Police (rep)'!$H$3*D7</f>
        <v>443.2482</v>
      </c>
      <c r="F7" s="134"/>
      <c r="G7" s="134"/>
      <c r="H7" s="134"/>
      <c r="I7" s="134"/>
    </row>
    <row r="8" spans="1:9" x14ac:dyDescent="0.2">
      <c r="A8" s="130">
        <v>1025</v>
      </c>
      <c r="B8" s="131" t="s">
        <v>580</v>
      </c>
      <c r="C8" s="131" t="s">
        <v>586</v>
      </c>
      <c r="D8" s="132">
        <v>7.0000000000000007E-2</v>
      </c>
      <c r="E8" s="133">
        <f>'P-Police (rep)'!$H$3*D8</f>
        <v>517.12290000000007</v>
      </c>
      <c r="F8" s="134"/>
      <c r="G8" s="134"/>
      <c r="H8" s="134"/>
      <c r="I8" s="134"/>
    </row>
    <row r="9" spans="1:9" x14ac:dyDescent="0.2">
      <c r="A9" s="130">
        <v>1027</v>
      </c>
      <c r="B9" s="131" t="s">
        <v>580</v>
      </c>
      <c r="C9" s="131" t="s">
        <v>587</v>
      </c>
      <c r="D9" s="132">
        <v>0.08</v>
      </c>
      <c r="E9" s="133">
        <f>'P-Police (rep)'!$H$3*D9</f>
        <v>590.99760000000003</v>
      </c>
      <c r="F9" s="134"/>
      <c r="G9" s="134"/>
      <c r="H9" s="134"/>
      <c r="I9" s="134"/>
    </row>
    <row r="10" spans="1:9" x14ac:dyDescent="0.2">
      <c r="A10" s="130">
        <v>1029</v>
      </c>
      <c r="B10" s="131" t="s">
        <v>580</v>
      </c>
      <c r="C10" s="131" t="s">
        <v>588</v>
      </c>
      <c r="D10" s="132">
        <v>0.09</v>
      </c>
      <c r="E10" s="133">
        <f>'P-Police (rep)'!$H$3*D10</f>
        <v>664.8723</v>
      </c>
      <c r="F10" s="134"/>
      <c r="G10" s="134"/>
      <c r="H10" s="134"/>
      <c r="I10" s="134"/>
    </row>
    <row r="11" spans="1:9" x14ac:dyDescent="0.2">
      <c r="A11" s="135"/>
      <c r="B11" s="136"/>
      <c r="C11" s="136"/>
      <c r="D11" s="132"/>
      <c r="E11" s="133"/>
      <c r="F11" s="134"/>
      <c r="G11" s="134"/>
      <c r="H11" s="134"/>
      <c r="I11" s="134"/>
    </row>
    <row r="12" spans="1:9" ht="27.75" customHeight="1" x14ac:dyDescent="0.2">
      <c r="A12" s="130">
        <v>1012</v>
      </c>
      <c r="B12" s="131" t="s">
        <v>580</v>
      </c>
      <c r="C12" s="137" t="s">
        <v>802</v>
      </c>
      <c r="D12" s="132">
        <v>9.5000000000000001E-2</v>
      </c>
      <c r="E12" s="133">
        <f>'P-Police (rep)'!$H$3*D12</f>
        <v>701.80965000000003</v>
      </c>
      <c r="F12" s="134"/>
      <c r="G12" s="134"/>
      <c r="H12" s="134"/>
      <c r="I12" s="134"/>
    </row>
    <row r="13" spans="1:9" ht="27.75" customHeight="1" x14ac:dyDescent="0.2">
      <c r="A13" s="135">
        <v>1018</v>
      </c>
      <c r="B13" s="131" t="s">
        <v>580</v>
      </c>
      <c r="C13" s="138" t="s">
        <v>803</v>
      </c>
      <c r="D13" s="132">
        <v>0.1</v>
      </c>
      <c r="E13" s="133">
        <f>'P-Police (rep)'!$H$3*D13</f>
        <v>738.74700000000007</v>
      </c>
      <c r="F13" s="134"/>
      <c r="G13" s="134"/>
      <c r="H13" s="134"/>
      <c r="I13" s="134"/>
    </row>
    <row r="14" spans="1:9" ht="27.75" customHeight="1" x14ac:dyDescent="0.2">
      <c r="A14" s="135">
        <v>1030</v>
      </c>
      <c r="B14" s="131" t="s">
        <v>580</v>
      </c>
      <c r="C14" s="138" t="s">
        <v>804</v>
      </c>
      <c r="D14" s="132">
        <v>0.11</v>
      </c>
      <c r="E14" s="133">
        <f>'P-Police (rep)'!$H$3*D14</f>
        <v>812.62170000000003</v>
      </c>
      <c r="F14" s="134"/>
      <c r="G14" s="134"/>
      <c r="H14" s="134"/>
      <c r="I14" s="134"/>
    </row>
    <row r="15" spans="1:9" ht="13.5" thickBot="1" x14ac:dyDescent="0.25">
      <c r="A15" s="139"/>
      <c r="B15" s="140"/>
      <c r="C15" s="140"/>
      <c r="D15" s="141"/>
      <c r="E15" s="142"/>
      <c r="F15" s="134"/>
      <c r="G15" s="134"/>
      <c r="H15" s="134"/>
      <c r="I15" s="134"/>
    </row>
    <row r="16" spans="1:9" ht="20.25" customHeight="1" thickBot="1" x14ac:dyDescent="0.25">
      <c r="A16" s="102"/>
      <c r="B16" s="104"/>
      <c r="C16" s="104"/>
      <c r="D16" s="105"/>
      <c r="E16" s="106"/>
      <c r="F16" s="134"/>
      <c r="G16" s="134"/>
      <c r="H16" s="134"/>
      <c r="I16" s="134"/>
    </row>
    <row r="17" spans="1:15" ht="17.100000000000001" customHeight="1" thickBot="1" x14ac:dyDescent="0.25">
      <c r="A17" s="608" t="s">
        <v>469</v>
      </c>
      <c r="B17" s="622" t="s">
        <v>470</v>
      </c>
      <c r="C17" s="608" t="s">
        <v>471</v>
      </c>
      <c r="D17" s="613" t="s">
        <v>473</v>
      </c>
      <c r="E17" s="621" t="s">
        <v>500</v>
      </c>
      <c r="F17" s="568"/>
      <c r="G17" s="568"/>
      <c r="H17" s="568"/>
      <c r="I17" s="569"/>
      <c r="J17" s="6"/>
      <c r="K17" s="6"/>
    </row>
    <row r="18" spans="1:15" ht="17.100000000000001" customHeight="1" x14ac:dyDescent="0.2">
      <c r="A18" s="609"/>
      <c r="B18" s="611"/>
      <c r="C18" s="611"/>
      <c r="D18" s="609"/>
      <c r="E18" s="85" t="s">
        <v>474</v>
      </c>
      <c r="F18" s="85" t="s">
        <v>475</v>
      </c>
      <c r="G18" s="85" t="s">
        <v>476</v>
      </c>
      <c r="H18" s="85" t="s">
        <v>477</v>
      </c>
      <c r="I18" s="85" t="s">
        <v>478</v>
      </c>
    </row>
    <row r="19" spans="1:15" ht="17.100000000000001" customHeight="1" thickBot="1" x14ac:dyDescent="0.25">
      <c r="A19" s="610"/>
      <c r="B19" s="612"/>
      <c r="C19" s="612"/>
      <c r="D19" s="610"/>
      <c r="E19" s="488">
        <f>'P-Police (rep)'!D3</f>
        <v>5332.27</v>
      </c>
      <c r="F19" s="488">
        <f>'P-Police (rep)'!E3</f>
        <v>5768.3</v>
      </c>
      <c r="G19" s="488">
        <f>'P-Police (rep)'!F3</f>
        <v>6477.94</v>
      </c>
      <c r="H19" s="488">
        <f>'P-Police (rep)'!G3</f>
        <v>6932.7</v>
      </c>
      <c r="I19" s="488">
        <f>'P-Police (rep)'!H3</f>
        <v>7387.47</v>
      </c>
      <c r="K19" s="122"/>
      <c r="L19" s="122"/>
      <c r="M19" s="122"/>
      <c r="N19" s="122"/>
      <c r="O19" s="122"/>
    </row>
    <row r="20" spans="1:15" x14ac:dyDescent="0.2">
      <c r="A20" s="481"/>
      <c r="B20" s="482"/>
      <c r="C20" s="482"/>
      <c r="D20" s="481"/>
      <c r="E20" s="489"/>
      <c r="F20" s="489"/>
      <c r="G20" s="489"/>
      <c r="H20" s="489"/>
      <c r="I20" s="489"/>
    </row>
    <row r="21" spans="1:15" ht="25.5" x14ac:dyDescent="0.2">
      <c r="A21" s="45">
        <v>1046</v>
      </c>
      <c r="B21" s="143" t="s">
        <v>605</v>
      </c>
      <c r="C21" s="144" t="s">
        <v>606</v>
      </c>
      <c r="D21" s="94">
        <v>0.04</v>
      </c>
      <c r="E21" s="95">
        <f t="shared" ref="E21:E30" si="0">D21*$E$19</f>
        <v>213.29080000000002</v>
      </c>
      <c r="F21" s="95">
        <f t="shared" ref="F21:F30" si="1">D21*$F$19</f>
        <v>230.732</v>
      </c>
      <c r="G21" s="95">
        <f t="shared" ref="G21:G30" si="2">D21*$G$19</f>
        <v>259.11759999999998</v>
      </c>
      <c r="H21" s="95">
        <f t="shared" ref="H21:H30" si="3">D21*$H$19</f>
        <v>277.30799999999999</v>
      </c>
      <c r="I21" s="95">
        <f t="shared" ref="I21:I30" si="4">D21*$I$19</f>
        <v>295.49880000000002</v>
      </c>
    </row>
    <row r="22" spans="1:15" x14ac:dyDescent="0.2">
      <c r="A22" s="145">
        <v>1041</v>
      </c>
      <c r="B22" s="143" t="s">
        <v>607</v>
      </c>
      <c r="C22" s="146" t="s">
        <v>608</v>
      </c>
      <c r="D22" s="94">
        <v>0.04</v>
      </c>
      <c r="E22" s="95">
        <f t="shared" si="0"/>
        <v>213.29080000000002</v>
      </c>
      <c r="F22" s="95">
        <f t="shared" si="1"/>
        <v>230.732</v>
      </c>
      <c r="G22" s="95">
        <f t="shared" si="2"/>
        <v>259.11759999999998</v>
      </c>
      <c r="H22" s="95">
        <f t="shared" si="3"/>
        <v>277.30799999999999</v>
      </c>
      <c r="I22" s="95">
        <f t="shared" si="4"/>
        <v>295.49880000000002</v>
      </c>
    </row>
    <row r="23" spans="1:15" x14ac:dyDescent="0.2">
      <c r="A23" s="45">
        <v>1043</v>
      </c>
      <c r="B23" s="143" t="s">
        <v>609</v>
      </c>
      <c r="C23" s="143" t="s">
        <v>610</v>
      </c>
      <c r="D23" s="94">
        <v>0.04</v>
      </c>
      <c r="E23" s="95">
        <f t="shared" si="0"/>
        <v>213.29080000000002</v>
      </c>
      <c r="F23" s="95">
        <f t="shared" si="1"/>
        <v>230.732</v>
      </c>
      <c r="G23" s="95">
        <f t="shared" si="2"/>
        <v>259.11759999999998</v>
      </c>
      <c r="H23" s="95">
        <f t="shared" si="3"/>
        <v>277.30799999999999</v>
      </c>
      <c r="I23" s="95">
        <f t="shared" si="4"/>
        <v>295.49880000000002</v>
      </c>
    </row>
    <row r="24" spans="1:15" x14ac:dyDescent="0.2">
      <c r="A24" s="45">
        <v>1045</v>
      </c>
      <c r="B24" s="143" t="s">
        <v>611</v>
      </c>
      <c r="C24" s="143" t="s">
        <v>612</v>
      </c>
      <c r="D24" s="94">
        <v>0.04</v>
      </c>
      <c r="E24" s="95">
        <f t="shared" si="0"/>
        <v>213.29080000000002</v>
      </c>
      <c r="F24" s="95">
        <f t="shared" si="1"/>
        <v>230.732</v>
      </c>
      <c r="G24" s="95">
        <f t="shared" si="2"/>
        <v>259.11759999999998</v>
      </c>
      <c r="H24" s="95">
        <f t="shared" si="3"/>
        <v>277.30799999999999</v>
      </c>
      <c r="I24" s="95">
        <f t="shared" si="4"/>
        <v>295.49880000000002</v>
      </c>
    </row>
    <row r="25" spans="1:15" x14ac:dyDescent="0.2">
      <c r="A25" s="45">
        <v>1047</v>
      </c>
      <c r="B25" s="143" t="s">
        <v>613</v>
      </c>
      <c r="C25" s="143" t="s">
        <v>614</v>
      </c>
      <c r="D25" s="94">
        <v>0.04</v>
      </c>
      <c r="E25" s="95">
        <f t="shared" si="0"/>
        <v>213.29080000000002</v>
      </c>
      <c r="F25" s="95">
        <f t="shared" si="1"/>
        <v>230.732</v>
      </c>
      <c r="G25" s="95">
        <f t="shared" si="2"/>
        <v>259.11759999999998</v>
      </c>
      <c r="H25" s="95">
        <f t="shared" si="3"/>
        <v>277.30799999999999</v>
      </c>
      <c r="I25" s="95">
        <f t="shared" si="4"/>
        <v>295.49880000000002</v>
      </c>
    </row>
    <row r="26" spans="1:15" x14ac:dyDescent="0.2">
      <c r="A26" s="45">
        <v>1049</v>
      </c>
      <c r="B26" s="143" t="s">
        <v>615</v>
      </c>
      <c r="C26" s="143" t="s">
        <v>616</v>
      </c>
      <c r="D26" s="94">
        <v>0.04</v>
      </c>
      <c r="E26" s="95">
        <f t="shared" si="0"/>
        <v>213.29080000000002</v>
      </c>
      <c r="F26" s="95">
        <f t="shared" si="1"/>
        <v>230.732</v>
      </c>
      <c r="G26" s="95">
        <f t="shared" si="2"/>
        <v>259.11759999999998</v>
      </c>
      <c r="H26" s="95">
        <f t="shared" si="3"/>
        <v>277.30799999999999</v>
      </c>
      <c r="I26" s="95">
        <f t="shared" si="4"/>
        <v>295.49880000000002</v>
      </c>
    </row>
    <row r="27" spans="1:15" x14ac:dyDescent="0.2">
      <c r="A27" s="45">
        <v>1053</v>
      </c>
      <c r="B27" s="143" t="s">
        <v>617</v>
      </c>
      <c r="C27" s="143" t="s">
        <v>618</v>
      </c>
      <c r="D27" s="94">
        <v>0.04</v>
      </c>
      <c r="E27" s="95">
        <f t="shared" si="0"/>
        <v>213.29080000000002</v>
      </c>
      <c r="F27" s="95">
        <f t="shared" si="1"/>
        <v>230.732</v>
      </c>
      <c r="G27" s="95">
        <f t="shared" si="2"/>
        <v>259.11759999999998</v>
      </c>
      <c r="H27" s="95">
        <f t="shared" si="3"/>
        <v>277.30799999999999</v>
      </c>
      <c r="I27" s="95">
        <f t="shared" si="4"/>
        <v>295.49880000000002</v>
      </c>
    </row>
    <row r="28" spans="1:15" x14ac:dyDescent="0.2">
      <c r="A28" s="147">
        <v>1055</v>
      </c>
      <c r="B28" s="148" t="s">
        <v>619</v>
      </c>
      <c r="C28" s="148" t="s">
        <v>620</v>
      </c>
      <c r="D28" s="149">
        <v>0.04</v>
      </c>
      <c r="E28" s="95">
        <f t="shared" si="0"/>
        <v>213.29080000000002</v>
      </c>
      <c r="F28" s="95">
        <f t="shared" si="1"/>
        <v>230.732</v>
      </c>
      <c r="G28" s="95">
        <f t="shared" si="2"/>
        <v>259.11759999999998</v>
      </c>
      <c r="H28" s="95">
        <f t="shared" si="3"/>
        <v>277.30799999999999</v>
      </c>
      <c r="I28" s="95">
        <f t="shared" si="4"/>
        <v>295.49880000000002</v>
      </c>
    </row>
    <row r="29" spans="1:15" x14ac:dyDescent="0.2">
      <c r="A29" s="147">
        <v>1050</v>
      </c>
      <c r="B29" s="486" t="s">
        <v>1050</v>
      </c>
      <c r="C29" s="486" t="s">
        <v>1049</v>
      </c>
      <c r="D29" s="149">
        <v>0.04</v>
      </c>
      <c r="E29" s="490">
        <f t="shared" si="0"/>
        <v>213.29080000000002</v>
      </c>
      <c r="F29" s="490">
        <f t="shared" si="1"/>
        <v>230.732</v>
      </c>
      <c r="G29" s="490">
        <f t="shared" si="2"/>
        <v>259.11759999999998</v>
      </c>
      <c r="H29" s="490">
        <f t="shared" si="3"/>
        <v>277.30799999999999</v>
      </c>
      <c r="I29" s="490">
        <f t="shared" si="4"/>
        <v>295.49880000000002</v>
      </c>
    </row>
    <row r="30" spans="1:15" ht="13.5" thickBot="1" x14ac:dyDescent="0.25">
      <c r="A30" s="98">
        <v>1057</v>
      </c>
      <c r="B30" s="487" t="s">
        <v>1051</v>
      </c>
      <c r="C30" s="487" t="s">
        <v>1052</v>
      </c>
      <c r="D30" s="100">
        <v>0.04</v>
      </c>
      <c r="E30" s="101">
        <f t="shared" si="0"/>
        <v>213.29080000000002</v>
      </c>
      <c r="F30" s="101">
        <f t="shared" si="1"/>
        <v>230.732</v>
      </c>
      <c r="G30" s="101">
        <f t="shared" si="2"/>
        <v>259.11759999999998</v>
      </c>
      <c r="H30" s="101">
        <f t="shared" si="3"/>
        <v>277.30799999999999</v>
      </c>
      <c r="I30" s="101">
        <f t="shared" si="4"/>
        <v>295.49880000000002</v>
      </c>
    </row>
    <row r="31" spans="1:15" ht="20.25" customHeight="1" thickBot="1" x14ac:dyDescent="0.25">
      <c r="A31" s="150"/>
      <c r="B31" s="151"/>
      <c r="C31" s="151"/>
      <c r="D31" s="152"/>
      <c r="E31" s="50"/>
      <c r="F31" s="134"/>
      <c r="G31" s="134"/>
      <c r="H31" s="134"/>
      <c r="I31" s="134"/>
    </row>
    <row r="32" spans="1:15" ht="17.100000000000001" customHeight="1" thickBot="1" x14ac:dyDescent="0.25">
      <c r="A32" s="608" t="s">
        <v>469</v>
      </c>
      <c r="B32" s="608" t="s">
        <v>470</v>
      </c>
      <c r="C32" s="608" t="s">
        <v>471</v>
      </c>
      <c r="D32" s="613" t="s">
        <v>473</v>
      </c>
      <c r="E32" s="581" t="s">
        <v>604</v>
      </c>
      <c r="F32" s="577"/>
      <c r="G32" s="577"/>
      <c r="H32" s="577"/>
      <c r="I32" s="569"/>
    </row>
    <row r="33" spans="1:9" ht="17.100000000000001" customHeight="1" x14ac:dyDescent="0.2">
      <c r="A33" s="609"/>
      <c r="B33" s="611"/>
      <c r="C33" s="611"/>
      <c r="D33" s="625"/>
      <c r="E33" s="153"/>
      <c r="F33" s="154"/>
      <c r="G33" s="154"/>
      <c r="H33" s="155"/>
      <c r="I33" s="156" t="s">
        <v>478</v>
      </c>
    </row>
    <row r="34" spans="1:9" ht="17.100000000000001" customHeight="1" thickBot="1" x14ac:dyDescent="0.25">
      <c r="A34" s="610"/>
      <c r="B34" s="612"/>
      <c r="C34" s="612"/>
      <c r="D34" s="626"/>
      <c r="E34" s="157"/>
      <c r="F34" s="158"/>
      <c r="G34" s="158"/>
      <c r="H34" s="159"/>
      <c r="I34" s="491">
        <f>'P-Police (rep)'!H7</f>
        <v>7977.17</v>
      </c>
    </row>
    <row r="35" spans="1:9" ht="25.5" x14ac:dyDescent="0.2">
      <c r="A35" s="45">
        <v>1046</v>
      </c>
      <c r="B35" s="143" t="s">
        <v>605</v>
      </c>
      <c r="C35" s="144" t="s">
        <v>606</v>
      </c>
      <c r="D35" s="94">
        <v>0.04</v>
      </c>
      <c r="E35" s="160"/>
      <c r="F35" s="161"/>
      <c r="G35" s="161"/>
      <c r="H35" s="133"/>
      <c r="I35" s="492">
        <f>D35*$I$34</f>
        <v>319.08679999999998</v>
      </c>
    </row>
    <row r="36" spans="1:9" x14ac:dyDescent="0.2">
      <c r="A36" s="45">
        <v>1043</v>
      </c>
      <c r="B36" s="143" t="s">
        <v>609</v>
      </c>
      <c r="C36" s="143" t="s">
        <v>610</v>
      </c>
      <c r="D36" s="162">
        <v>0.04</v>
      </c>
      <c r="E36" s="160"/>
      <c r="F36" s="161"/>
      <c r="G36" s="161"/>
      <c r="H36" s="133"/>
      <c r="I36" s="492">
        <f>D36*$I$34</f>
        <v>319.08679999999998</v>
      </c>
    </row>
    <row r="37" spans="1:9" x14ac:dyDescent="0.2">
      <c r="A37" s="45">
        <v>1050</v>
      </c>
      <c r="B37" s="493" t="s">
        <v>1050</v>
      </c>
      <c r="C37" s="493" t="s">
        <v>1049</v>
      </c>
      <c r="D37" s="162">
        <v>0.04</v>
      </c>
      <c r="E37" s="160"/>
      <c r="F37" s="161"/>
      <c r="G37" s="161"/>
      <c r="H37" s="133"/>
      <c r="I37" s="492">
        <f>D37*$I$34</f>
        <v>319.08679999999998</v>
      </c>
    </row>
    <row r="38" spans="1:9" ht="13.5" thickBot="1" x14ac:dyDescent="0.25">
      <c r="A38" s="98">
        <v>1057</v>
      </c>
      <c r="B38" s="494" t="s">
        <v>1051</v>
      </c>
      <c r="C38" s="487" t="s">
        <v>1052</v>
      </c>
      <c r="D38" s="163">
        <v>0.04</v>
      </c>
      <c r="E38" s="164"/>
      <c r="F38" s="165"/>
      <c r="G38" s="165"/>
      <c r="H38" s="166"/>
      <c r="I38" s="167">
        <f>D38*$I$34</f>
        <v>319.08679999999998</v>
      </c>
    </row>
    <row r="39" spans="1:9" ht="20.25" customHeight="1" thickBot="1" x14ac:dyDescent="0.25">
      <c r="A39" s="150"/>
      <c r="B39" s="151"/>
      <c r="C39" s="151"/>
      <c r="D39" s="152"/>
      <c r="E39" s="50"/>
      <c r="F39" s="134"/>
      <c r="G39" s="134"/>
      <c r="H39" s="134"/>
      <c r="I39" s="134"/>
    </row>
    <row r="40" spans="1:9" ht="17.100000000000001" customHeight="1" thickBot="1" x14ac:dyDescent="0.25">
      <c r="A40" s="608" t="s">
        <v>469</v>
      </c>
      <c r="B40" s="608" t="s">
        <v>470</v>
      </c>
      <c r="C40" s="608" t="s">
        <v>471</v>
      </c>
      <c r="D40" s="613" t="s">
        <v>473</v>
      </c>
      <c r="E40" s="621" t="s">
        <v>1053</v>
      </c>
      <c r="F40" s="568"/>
      <c r="G40" s="568"/>
      <c r="H40" s="568"/>
      <c r="I40" s="569"/>
    </row>
    <row r="41" spans="1:9" ht="17.100000000000001" customHeight="1" x14ac:dyDescent="0.2">
      <c r="A41" s="609"/>
      <c r="B41" s="611"/>
      <c r="C41" s="611"/>
      <c r="D41" s="609"/>
      <c r="E41" s="168"/>
      <c r="F41" s="169"/>
      <c r="G41" s="170"/>
      <c r="H41" s="85" t="s">
        <v>477</v>
      </c>
      <c r="I41" s="85" t="s">
        <v>478</v>
      </c>
    </row>
    <row r="42" spans="1:9" ht="17.100000000000001" customHeight="1" thickBot="1" x14ac:dyDescent="0.25">
      <c r="A42" s="610"/>
      <c r="B42" s="612"/>
      <c r="C42" s="612"/>
      <c r="D42" s="610"/>
      <c r="E42" s="157"/>
      <c r="F42" s="158"/>
      <c r="G42" s="171"/>
      <c r="H42" s="488">
        <f>'P-Police (rep)'!G11</f>
        <v>8448.7099999999991</v>
      </c>
      <c r="I42" s="488">
        <f>'P-Police (rep)'!H11</f>
        <v>8836.07</v>
      </c>
    </row>
    <row r="43" spans="1:9" x14ac:dyDescent="0.2">
      <c r="A43" s="45">
        <v>1052</v>
      </c>
      <c r="B43" s="143" t="s">
        <v>621</v>
      </c>
      <c r="C43" s="172" t="s">
        <v>622</v>
      </c>
      <c r="D43" s="94">
        <v>0.04</v>
      </c>
      <c r="E43" s="160"/>
      <c r="F43" s="161"/>
      <c r="G43" s="173"/>
      <c r="H43" s="95">
        <f>D43*$H$42</f>
        <v>337.94839999999999</v>
      </c>
      <c r="I43" s="95">
        <f>D43*$I$42</f>
        <v>353.44279999999998</v>
      </c>
    </row>
    <row r="44" spans="1:9" x14ac:dyDescent="0.2">
      <c r="A44" s="147">
        <v>1055</v>
      </c>
      <c r="B44" s="148" t="s">
        <v>619</v>
      </c>
      <c r="C44" s="174" t="s">
        <v>620</v>
      </c>
      <c r="D44" s="149">
        <v>0.04</v>
      </c>
      <c r="E44" s="175"/>
      <c r="F44" s="176"/>
      <c r="G44" s="177"/>
      <c r="H44" s="95">
        <f>D44*$H$42</f>
        <v>337.94839999999999</v>
      </c>
      <c r="I44" s="95">
        <f>D44*$I$42</f>
        <v>353.44279999999998</v>
      </c>
    </row>
    <row r="45" spans="1:9" ht="17.100000000000001" customHeight="1" x14ac:dyDescent="0.2">
      <c r="A45" s="147">
        <v>1050</v>
      </c>
      <c r="B45" s="486" t="s">
        <v>1050</v>
      </c>
      <c r="C45" s="495" t="s">
        <v>1049</v>
      </c>
      <c r="D45" s="149">
        <v>0.04</v>
      </c>
      <c r="E45" s="175"/>
      <c r="F45" s="176"/>
      <c r="G45" s="177"/>
      <c r="H45" s="95">
        <f t="shared" ref="H45:H46" si="5">D45*$H$42</f>
        <v>337.94839999999999</v>
      </c>
      <c r="I45" s="95">
        <f t="shared" ref="I45:I46" si="6">D45*$I$42</f>
        <v>353.44279999999998</v>
      </c>
    </row>
    <row r="46" spans="1:9" ht="13.5" thickBot="1" x14ac:dyDescent="0.25">
      <c r="A46" s="98">
        <v>1057</v>
      </c>
      <c r="B46" s="494" t="s">
        <v>1051</v>
      </c>
      <c r="C46" s="487" t="s">
        <v>1052</v>
      </c>
      <c r="D46" s="100">
        <v>0.04</v>
      </c>
      <c r="E46" s="164"/>
      <c r="F46" s="165"/>
      <c r="G46" s="178"/>
      <c r="H46" s="101">
        <f t="shared" si="5"/>
        <v>337.94839999999999</v>
      </c>
      <c r="I46" s="101">
        <f t="shared" si="6"/>
        <v>353.44279999999998</v>
      </c>
    </row>
  </sheetData>
  <customSheetViews>
    <customSheetView guid="{03674138-A9FA-46A6-AB09-A74C70852C0D}" showPageBreaks="1" fitToPage="1" printArea="1" state="hidden" view="pageLayout">
      <pageMargins left="0.25" right="0.25" top="0.5" bottom="0.5" header="0.5" footer="0.25"/>
      <printOptions horizontalCentered="1"/>
      <pageSetup scale="74" orientation="portrait" r:id="rId1"/>
      <headerFooter alignWithMargins="0">
        <oddFooter>&amp;C&amp;"Arial,Bold"&amp;16&amp;A&amp;RPolice Officers Guild
2012 Add to Pays</oddFooter>
      </headerFooter>
    </customSheetView>
    <customSheetView guid="{6140C585-A678-4296-91B8-0C17DF653D09}" showPageBreaks="1" fitToPage="1" printArea="1" view="pageLayout">
      <pageMargins left="0.25" right="0.25" top="0.5" bottom="0.5" header="0.5" footer="0.25"/>
      <printOptions horizontalCentered="1"/>
      <pageSetup scale="75" orientation="portrait" r:id="rId2"/>
      <headerFooter alignWithMargins="0">
        <oddFooter>&amp;C&amp;"Arial,Bold"&amp;16&amp;A&amp;RPolice Officers Guild
2012 Add to Pays</oddFooter>
      </headerFooter>
    </customSheetView>
    <customSheetView guid="{49073133-97C6-4E81-BEFE-D9E658C173F7}" showPageBreaks="1" fitToPage="1" printArea="1" view="pageLayout">
      <pageMargins left="0.25" right="0.25" top="0.5" bottom="0.5" header="0.5" footer="0.25"/>
      <printOptions horizontalCentered="1"/>
      <pageSetup scale="75" orientation="portrait" r:id="rId3"/>
      <headerFooter alignWithMargins="0">
        <oddFooter>&amp;C&amp;"Arial,Bold"&amp;16&amp;A&amp;RPolice Officers Guild
2012 Add to Pays</oddFooter>
      </headerFooter>
    </customSheetView>
  </customSheetViews>
  <mergeCells count="16">
    <mergeCell ref="F1:I3"/>
    <mergeCell ref="C32:C34"/>
    <mergeCell ref="D32:D34"/>
    <mergeCell ref="A17:A19"/>
    <mergeCell ref="D17:D19"/>
    <mergeCell ref="E17:I17"/>
    <mergeCell ref="E40:I40"/>
    <mergeCell ref="A40:A42"/>
    <mergeCell ref="B40:B42"/>
    <mergeCell ref="C17:C19"/>
    <mergeCell ref="B17:B19"/>
    <mergeCell ref="C40:C42"/>
    <mergeCell ref="D40:D42"/>
    <mergeCell ref="E32:I32"/>
    <mergeCell ref="A32:A34"/>
    <mergeCell ref="B32:B34"/>
  </mergeCells>
  <phoneticPr fontId="7" type="noConversion"/>
  <printOptions horizontalCentered="1"/>
  <pageMargins left="0.25" right="0.25" top="0.5" bottom="0.5" header="0.5" footer="0.25"/>
  <pageSetup scale="95" orientation="portrait" r:id="rId4"/>
  <headerFooter alignWithMargins="0">
    <oddFooter>&amp;C&amp;"Arial,Bold"&amp;16&amp;A&amp;R2016 Add to Pays / Police Officers Guild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M8"/>
  <sheetViews>
    <sheetView view="pageLayout" zoomScaleNormal="100" workbookViewId="0">
      <selection sqref="A1:A2"/>
    </sheetView>
  </sheetViews>
  <sheetFormatPr defaultColWidth="9.140625" defaultRowHeight="12.75" x14ac:dyDescent="0.2"/>
  <cols>
    <col min="1" max="1" width="7.7109375" style="273" customWidth="1"/>
    <col min="2" max="2" width="8.7109375" style="273" customWidth="1"/>
    <col min="3" max="3" width="35.7109375" style="246" customWidth="1"/>
    <col min="4" max="6" width="10.7109375" style="317" customWidth="1"/>
    <col min="7" max="7" width="10.7109375" style="246" bestFit="1" customWidth="1"/>
    <col min="8" max="9" width="9.140625" style="246"/>
    <col min="10" max="10" width="17" style="246" bestFit="1" customWidth="1"/>
    <col min="11" max="16384" width="9.140625" style="246"/>
  </cols>
  <sheetData>
    <row r="1" spans="1:13" s="261" customFormat="1" x14ac:dyDescent="0.2">
      <c r="A1" s="540" t="s">
        <v>559</v>
      </c>
      <c r="B1" s="542" t="s">
        <v>0</v>
      </c>
      <c r="C1" s="542" t="s">
        <v>1</v>
      </c>
      <c r="D1" s="559" t="s">
        <v>381</v>
      </c>
      <c r="E1" s="559" t="s">
        <v>383</v>
      </c>
      <c r="F1" s="559" t="s">
        <v>382</v>
      </c>
      <c r="G1" s="512">
        <v>2017</v>
      </c>
      <c r="K1" s="309"/>
      <c r="L1" s="309"/>
    </row>
    <row r="2" spans="1:13" s="264" customFormat="1" x14ac:dyDescent="0.2">
      <c r="A2" s="541"/>
      <c r="B2" s="541"/>
      <c r="C2" s="543"/>
      <c r="D2" s="560"/>
      <c r="E2" s="560"/>
      <c r="F2" s="560"/>
      <c r="G2" s="394"/>
      <c r="K2" s="247" t="s">
        <v>466</v>
      </c>
      <c r="L2" s="247" t="s">
        <v>467</v>
      </c>
      <c r="M2" s="264" t="s">
        <v>382</v>
      </c>
    </row>
    <row r="3" spans="1:13" x14ac:dyDescent="0.2">
      <c r="A3" s="273" t="s">
        <v>84</v>
      </c>
      <c r="B3" s="275" t="s">
        <v>378</v>
      </c>
      <c r="C3" s="276" t="s">
        <v>825</v>
      </c>
      <c r="D3" s="252">
        <v>11</v>
      </c>
      <c r="E3" s="252">
        <v>11</v>
      </c>
      <c r="F3" s="252">
        <v>11</v>
      </c>
      <c r="G3" s="253" t="s">
        <v>11</v>
      </c>
      <c r="H3" s="253"/>
      <c r="I3" s="253"/>
      <c r="J3" s="269" t="s">
        <v>460</v>
      </c>
      <c r="K3" s="270">
        <f>(E3-D3)/D3</f>
        <v>0</v>
      </c>
      <c r="L3" s="291">
        <f>(F3-E3)/E3</f>
        <v>0</v>
      </c>
    </row>
    <row r="4" spans="1:13" ht="35.1" customHeight="1" x14ac:dyDescent="0.2">
      <c r="D4" s="252"/>
      <c r="E4" s="252"/>
      <c r="F4" s="252"/>
      <c r="G4" s="253"/>
      <c r="H4" s="253"/>
      <c r="I4" s="253"/>
      <c r="J4" s="269"/>
      <c r="K4" s="270"/>
      <c r="L4" s="291"/>
      <c r="M4" s="291"/>
    </row>
    <row r="5" spans="1:13" x14ac:dyDescent="0.2">
      <c r="A5" s="273" t="s">
        <v>85</v>
      </c>
      <c r="B5" s="275" t="s">
        <v>379</v>
      </c>
      <c r="C5" s="276" t="s">
        <v>826</v>
      </c>
      <c r="D5" s="252">
        <v>11</v>
      </c>
      <c r="E5" s="252">
        <f>(D5+F5)/2</f>
        <v>11.6</v>
      </c>
      <c r="F5" s="252">
        <v>12.2</v>
      </c>
      <c r="G5" s="253" t="s">
        <v>11</v>
      </c>
      <c r="H5" s="253"/>
      <c r="I5" s="253"/>
      <c r="J5" s="269" t="s">
        <v>460</v>
      </c>
      <c r="K5" s="270">
        <f>(E5-D5)/D5</f>
        <v>5.4545454545454515E-2</v>
      </c>
      <c r="L5" s="291">
        <f>(F5-E5)/E5</f>
        <v>5.1724137931034454E-2</v>
      </c>
    </row>
    <row r="6" spans="1:13" ht="35.1" customHeight="1" x14ac:dyDescent="0.2">
      <c r="B6" s="335"/>
      <c r="C6" s="339"/>
      <c r="D6" s="257"/>
      <c r="E6" s="257"/>
      <c r="F6" s="257"/>
      <c r="G6" s="253"/>
      <c r="H6" s="253"/>
      <c r="I6" s="253"/>
      <c r="J6" s="253"/>
      <c r="K6" s="253"/>
    </row>
    <row r="7" spans="1:13" x14ac:dyDescent="0.2">
      <c r="A7" s="273" t="s">
        <v>86</v>
      </c>
      <c r="B7" s="266" t="s">
        <v>380</v>
      </c>
      <c r="C7" s="251" t="s">
        <v>827</v>
      </c>
      <c r="D7" s="252">
        <v>12.5</v>
      </c>
      <c r="E7" s="252">
        <f>SUM(D7+F7)/2</f>
        <v>17</v>
      </c>
      <c r="F7" s="252">
        <v>21.5</v>
      </c>
      <c r="G7" s="253" t="s">
        <v>11</v>
      </c>
      <c r="H7" s="253"/>
      <c r="I7" s="253"/>
      <c r="J7" s="269" t="s">
        <v>460</v>
      </c>
      <c r="K7" s="270">
        <f>(E7-D7)/D7</f>
        <v>0.36</v>
      </c>
      <c r="L7" s="291">
        <f>(F7-E7)/E7</f>
        <v>0.26470588235294118</v>
      </c>
    </row>
    <row r="8" spans="1:13" ht="35.1" customHeight="1" x14ac:dyDescent="0.2">
      <c r="B8" s="335"/>
      <c r="C8" s="253"/>
      <c r="D8" s="252"/>
      <c r="E8" s="252"/>
      <c r="F8" s="252"/>
      <c r="G8" s="253"/>
      <c r="H8" s="253"/>
      <c r="I8" s="253"/>
      <c r="J8" s="269"/>
      <c r="K8" s="383"/>
      <c r="L8" s="291"/>
      <c r="M8" s="291"/>
    </row>
  </sheetData>
  <customSheetViews>
    <customSheetView guid="{03674138-A9FA-46A6-AB09-A74C70852C0D}" showPageBreaks="1" printArea="1" view="pageLayout">
      <selection activeCell="F22" sqref="F22"/>
      <pageMargins left="0.25" right="0.25" top="1.75" bottom="1" header="0.5" footer="0.5"/>
      <printOptions horizontalCentered="1" gridLines="1"/>
      <pageSetup orientation="portrait" r:id="rId1"/>
      <headerFooter alignWithMargins="0">
        <oddHeader>&amp;L&amp;"Times New Roman,Regular"Ordinance #  (budget adoption)&amp;C&amp;"Times New Roman,Bold"&amp;16ATTACHMENT I
2016 CITY OF BELLEVUE PAY PLANS
NON-AFFILIATED
RECREATION ASSISTANTS</oddHeader>
        <oddFooter>&amp;L&amp;"Times New Roman,Bold"&amp;UNOTE&amp;"Times New Roman,Regular"&amp;U:  These positions are not subject to
GSA/COLA increases.&amp;C&amp;"Times New Roman,Bold"&amp;16&amp;A</oddFooter>
      </headerFooter>
    </customSheetView>
    <customSheetView guid="{6140C585-A678-4296-91B8-0C17DF653D09}" showPageBreaks="1" printArea="1" view="pageLayout">
      <selection sqref="A1:A2"/>
      <pageMargins left="0.25" right="0.25" top="1.75" bottom="1" header="0.5" footer="0.5"/>
      <printOptions horizontalCentered="1" gridLines="1"/>
      <pageSetup orientation="portrait" r:id="rId2"/>
      <headerFooter alignWithMargins="0">
        <oddHeader>&amp;LOrdinance #  (budget adoption)&amp;C&amp;"Arial,Bold"&amp;16
2016 CITY OF BELLEVUE PAY PLANS
&amp;14NON-AFFILIATED
RECREATION ASSISTANTS</oddHeader>
        <oddFooter>&amp;L&amp;"Arial,Bold"&amp;UNOTE&amp;"Arial,Regular"&amp;U:  These positions are not subject to
GSA/COLA increases.&amp;C&amp;"Arial,Bold"&amp;16&amp;A&amp;REffective 01/01/16,
System Update 01/xx/16</oddFooter>
      </headerFooter>
    </customSheetView>
    <customSheetView guid="{49073133-97C6-4E81-BEFE-D9E658C173F7}" showPageBreaks="1" printArea="1" view="pageLayout">
      <selection sqref="A1:A2"/>
      <pageMargins left="0.25" right="0.25" top="1.75" bottom="1" header="0.5" footer="0.5"/>
      <printOptions horizontalCentered="1" gridLines="1"/>
      <pageSetup orientation="portrait" r:id="rId3"/>
      <headerFooter alignWithMargins="0">
        <oddHeader>&amp;LOrdinance #  (budget adoption)&amp;C&amp;"Arial,Bold"&amp;16
2016 CITY OF BELLEVUE PAY PLANS
&amp;14NON-AFFILIATED
RECREATION ASSISTANTS</oddHeader>
        <oddFooter>&amp;L&amp;"Arial,Bold"&amp;UNOTE&amp;"Arial,Regular"&amp;U:  These positions are not subject to
GSA/COLA increases.&amp;C&amp;"Arial,Bold"&amp;16&amp;A&amp;REffective 01/01/16,
System Update 01/xx/16</oddFooter>
      </headerFooter>
    </customSheetView>
  </customSheetViews>
  <mergeCells count="6">
    <mergeCell ref="E1:E2"/>
    <mergeCell ref="F1:F2"/>
    <mergeCell ref="A1:A2"/>
    <mergeCell ref="B1:B2"/>
    <mergeCell ref="C1:C2"/>
    <mergeCell ref="D1:D2"/>
  </mergeCells>
  <phoneticPr fontId="7" type="noConversion"/>
  <printOptions horizontalCentered="1" gridLines="1"/>
  <pageMargins left="0.25" right="0.25" top="1.75" bottom="1" header="0.5" footer="0.5"/>
  <pageSetup orientation="portrait" r:id="rId4"/>
  <headerFooter alignWithMargins="0">
    <oddHeader>&amp;LOrdinance #6333 (budget adoption)&amp;C&amp;"Times New Roman,Bold"&amp;16
2017  CITY OF BELLEVUE PAY PLANS
&amp;14NON-AFFILIATED
RECREATION ASSISTANTS</oddHeader>
    <oddFooter>&amp;L&amp;"Arial,Bold"&amp;UNOTE&amp;"Arial,Regular"&amp;U:  These positions are not subject to
GSA/COLA increases.&amp;C&amp;"Arial,Bold"&amp;16&amp;A&amp;REffective 01/01/17
System Update 01/xx/17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M34"/>
  <sheetViews>
    <sheetView view="pageLayout" zoomScaleNormal="100" workbookViewId="0">
      <selection sqref="A1:A2"/>
    </sheetView>
  </sheetViews>
  <sheetFormatPr defaultColWidth="9.140625" defaultRowHeight="12.75" x14ac:dyDescent="0.2"/>
  <cols>
    <col min="1" max="1" width="5" style="273" customWidth="1"/>
    <col min="2" max="2" width="8.28515625" style="273" customWidth="1"/>
    <col min="3" max="3" width="45.28515625" style="246" customWidth="1"/>
    <col min="4" max="6" width="10.7109375" style="274" customWidth="1"/>
    <col min="7" max="7" width="9.7109375" style="246" bestFit="1" customWidth="1"/>
    <col min="8" max="9" width="9.140625" style="246"/>
    <col min="10" max="10" width="17" style="246" bestFit="1" customWidth="1"/>
    <col min="11" max="16384" width="9.140625" style="246"/>
  </cols>
  <sheetData>
    <row r="1" spans="1:13" s="261" customFormat="1" x14ac:dyDescent="0.2">
      <c r="A1" s="540" t="s">
        <v>559</v>
      </c>
      <c r="B1" s="542" t="s">
        <v>0</v>
      </c>
      <c r="C1" s="542" t="s">
        <v>1</v>
      </c>
      <c r="D1" s="627" t="s">
        <v>381</v>
      </c>
      <c r="E1" s="627" t="s">
        <v>383</v>
      </c>
      <c r="F1" s="627" t="s">
        <v>382</v>
      </c>
      <c r="G1" s="395">
        <v>2017</v>
      </c>
      <c r="J1" s="331" t="s">
        <v>943</v>
      </c>
      <c r="K1" s="309"/>
      <c r="L1" s="309"/>
    </row>
    <row r="2" spans="1:13" s="264" customFormat="1" x14ac:dyDescent="0.2">
      <c r="A2" s="541"/>
      <c r="B2" s="541"/>
      <c r="C2" s="543"/>
      <c r="D2" s="628"/>
      <c r="E2" s="628"/>
      <c r="F2" s="628"/>
      <c r="G2" s="394"/>
      <c r="J2" s="380">
        <v>1.0333000000000001</v>
      </c>
      <c r="K2" s="384" t="s">
        <v>466</v>
      </c>
      <c r="L2" s="384" t="s">
        <v>467</v>
      </c>
      <c r="M2" s="264" t="s">
        <v>382</v>
      </c>
    </row>
    <row r="3" spans="1:13" x14ac:dyDescent="0.2">
      <c r="A3" s="275" t="s">
        <v>178</v>
      </c>
      <c r="B3" s="273" t="s">
        <v>240</v>
      </c>
      <c r="C3" s="246" t="s">
        <v>42</v>
      </c>
      <c r="D3" s="385">
        <f>'G - General Pay Plan'!E106</f>
        <v>5421.9553019833338</v>
      </c>
      <c r="E3" s="385">
        <f>'G - General Pay Plan'!F106</f>
        <v>6451.7769118166661</v>
      </c>
      <c r="F3" s="385">
        <f>'G - General Pay Plan'!G106</f>
        <v>7481.5985301333321</v>
      </c>
      <c r="G3" s="246" t="s">
        <v>10</v>
      </c>
      <c r="J3" s="312" t="s">
        <v>460</v>
      </c>
      <c r="K3" s="291">
        <f>(E3-D3)/D3</f>
        <v>0.18993546653854318</v>
      </c>
      <c r="L3" s="291">
        <f>(F3-E3)/E3</f>
        <v>0.15961829312952683</v>
      </c>
    </row>
    <row r="4" spans="1:13" x14ac:dyDescent="0.2">
      <c r="B4" s="386"/>
      <c r="C4" s="253"/>
      <c r="D4" s="385">
        <f>12*D3</f>
        <v>65063.463623800009</v>
      </c>
      <c r="E4" s="385">
        <f>12*E3</f>
        <v>77421.322941799997</v>
      </c>
      <c r="F4" s="385">
        <f>12*F3</f>
        <v>89779.182361599989</v>
      </c>
      <c r="G4" s="246" t="s">
        <v>529</v>
      </c>
      <c r="J4" s="312" t="s">
        <v>461</v>
      </c>
      <c r="K4" s="291">
        <f>(F3-D3)/D3</f>
        <v>0.37987093464171262</v>
      </c>
    </row>
    <row r="5" spans="1:13" x14ac:dyDescent="0.2">
      <c r="B5" s="275"/>
      <c r="D5" s="385">
        <f>D4/2080</f>
        <v>31.280511357596158</v>
      </c>
      <c r="E5" s="385">
        <f>E4/2080</f>
        <v>37.221789875865383</v>
      </c>
      <c r="F5" s="385">
        <f>F4/2080</f>
        <v>43.163068443076916</v>
      </c>
      <c r="G5" s="246" t="s">
        <v>11</v>
      </c>
      <c r="J5" s="312" t="s">
        <v>462</v>
      </c>
      <c r="K5" s="291">
        <f>(D32-D3)/D3</f>
        <v>5.1159376202996903E-2</v>
      </c>
      <c r="L5" s="291">
        <f>(E32-E3)/E3</f>
        <v>5.0929114840417782E-2</v>
      </c>
      <c r="M5" s="291">
        <f>(F32-F3)/F3</f>
        <v>5.076224084826686E-2</v>
      </c>
    </row>
    <row r="6" spans="1:13" s="264" customFormat="1" ht="35.1" customHeight="1" x14ac:dyDescent="0.2">
      <c r="A6" s="273"/>
      <c r="B6" s="273"/>
      <c r="C6" s="248"/>
      <c r="D6" s="385"/>
      <c r="E6" s="385"/>
      <c r="F6" s="385"/>
    </row>
    <row r="11" spans="1:13" x14ac:dyDescent="0.2">
      <c r="D11" s="317"/>
      <c r="E11" s="317"/>
      <c r="F11" s="317"/>
    </row>
    <row r="12" spans="1:13" x14ac:dyDescent="0.2">
      <c r="D12" s="317"/>
      <c r="E12" s="317"/>
      <c r="F12" s="317"/>
    </row>
    <row r="13" spans="1:13" x14ac:dyDescent="0.2">
      <c r="D13" s="317"/>
      <c r="E13" s="317"/>
      <c r="F13" s="317"/>
    </row>
    <row r="31" spans="1:12" x14ac:dyDescent="0.2">
      <c r="C31" s="246" t="s">
        <v>917</v>
      </c>
    </row>
    <row r="32" spans="1:12" x14ac:dyDescent="0.2">
      <c r="A32" s="275" t="s">
        <v>179</v>
      </c>
      <c r="B32" s="273" t="s">
        <v>249</v>
      </c>
      <c r="C32" s="276" t="s">
        <v>139</v>
      </c>
      <c r="D32" s="385">
        <f>'G - General Pay Plan'!E135</f>
        <v>5699.3391530333329</v>
      </c>
      <c r="E32" s="385">
        <f>'G - General Pay Plan'!F135</f>
        <v>6780.3601990833331</v>
      </c>
      <c r="F32" s="385">
        <f>'G - General Pay Plan'!G135</f>
        <v>7861.3812366499997</v>
      </c>
      <c r="G32" s="246" t="s">
        <v>10</v>
      </c>
      <c r="J32" s="312" t="s">
        <v>460</v>
      </c>
      <c r="K32" s="291">
        <f>(E32-D32)/D32</f>
        <v>0.18967480562630729</v>
      </c>
      <c r="L32" s="291">
        <f>(F32-E32)/E32</f>
        <v>0.15943416069736452</v>
      </c>
    </row>
    <row r="33" spans="4:11" x14ac:dyDescent="0.2">
      <c r="D33" s="385">
        <f>12*D32</f>
        <v>68392.069836399998</v>
      </c>
      <c r="E33" s="385">
        <f>12*E32</f>
        <v>81364.322388999994</v>
      </c>
      <c r="F33" s="385">
        <f>12*F32</f>
        <v>94336.5748398</v>
      </c>
      <c r="G33" s="246" t="s">
        <v>529</v>
      </c>
      <c r="J33" s="312" t="s">
        <v>461</v>
      </c>
      <c r="K33" s="291">
        <f>(F32-D32)/D32</f>
        <v>0.37934960976413784</v>
      </c>
    </row>
    <row r="34" spans="4:11" x14ac:dyDescent="0.2">
      <c r="D34" s="385">
        <f>D33/2080</f>
        <v>32.880802805961537</v>
      </c>
      <c r="E34" s="385">
        <f>E33/2080</f>
        <v>39.117462687019227</v>
      </c>
      <c r="F34" s="385">
        <f>F33/2080</f>
        <v>45.354122519134613</v>
      </c>
      <c r="G34" s="246" t="s">
        <v>11</v>
      </c>
    </row>
  </sheetData>
  <customSheetViews>
    <customSheetView guid="{03674138-A9FA-46A6-AB09-A74C70852C0D}" showPageBreaks="1" printArea="1" view="pageLayout">
      <selection activeCell="C12" sqref="C12"/>
      <pageMargins left="0.25" right="0.25" top="1.75" bottom="1" header="0.5" footer="0.5"/>
      <printOptions horizontalCentered="1" gridLines="1"/>
      <pageSetup orientation="portrait" r:id="rId1"/>
      <headerFooter alignWithMargins="0">
        <oddHeader>&amp;L&amp;"Times New Roman,Regular"Ordinance #  (budget adoption)&amp;C&amp;"Times New Roman,Bold"&amp;16ATTACHMENT I
2016 CITY OF BELLEVUE PAY PLANS
NON-AFFILIATED
POLICE RECORDS SUPERVISORS</oddHeader>
        <oddFooter>&amp;C&amp;"Times New Roman,Bold"&amp;16&amp;A</oddFooter>
      </headerFooter>
    </customSheetView>
    <customSheetView guid="{6140C585-A678-4296-91B8-0C17DF653D09}" showPageBreaks="1" printArea="1" view="pageLayout">
      <selection sqref="A1:A2"/>
      <pageMargins left="0.25" right="0.25" top="1.75" bottom="1" header="0.5" footer="0.5"/>
      <printOptions horizontalCentered="1" gridLines="1"/>
      <pageSetup orientation="portrait" r:id="rId2"/>
      <headerFooter alignWithMargins="0">
        <oddHeader>&amp;LOrdinance #  (budget adoption)&amp;C&amp;"Arial,Bold"&amp;16
2016 CITY OF BELLEVUE PAY PLANS
&amp;14NON-AFFILIATED
POLICE RECORDS SUPERVISORS</oddHeader>
        <oddFooter>&amp;C&amp;"Arial,Bold"&amp;16&amp;A&amp;REffective 01/01/15
System Update 01/xx/15</oddFooter>
      </headerFooter>
    </customSheetView>
    <customSheetView guid="{49073133-97C6-4E81-BEFE-D9E658C173F7}" showPageBreaks="1" printArea="1" view="pageLayout">
      <selection sqref="A1:A2"/>
      <pageMargins left="0.25" right="0.25" top="1.75" bottom="1" header="0.5" footer="0.5"/>
      <printOptions horizontalCentered="1" gridLines="1"/>
      <pageSetup orientation="portrait" r:id="rId3"/>
      <headerFooter alignWithMargins="0">
        <oddHeader>&amp;LOrdinance #  (budget adoption)&amp;C&amp;"Arial,Bold"&amp;16
2016 CITY OF BELLEVUE PAY PLANS
&amp;14NON-AFFILIATED
POLICE RECORDS SUPERVISORS</oddHeader>
        <oddFooter>&amp;C&amp;"Arial,Bold"&amp;16&amp;A&amp;REffective 01/01/15
System Update 01/xx/15</oddFooter>
      </headerFooter>
    </customSheetView>
  </customSheetViews>
  <mergeCells count="6">
    <mergeCell ref="E1:E2"/>
    <mergeCell ref="F1:F2"/>
    <mergeCell ref="A1:A2"/>
    <mergeCell ref="B1:B2"/>
    <mergeCell ref="C1:C2"/>
    <mergeCell ref="D1:D2"/>
  </mergeCells>
  <phoneticPr fontId="7" type="noConversion"/>
  <printOptions horizontalCentered="1" gridLines="1"/>
  <pageMargins left="0.25" right="0.25" top="1.75" bottom="1" header="0.5" footer="0.5"/>
  <pageSetup orientation="portrait" r:id="rId4"/>
  <headerFooter alignWithMargins="0">
    <oddHeader>&amp;LOrdinance #6333 (pay plan adoption)&amp;C&amp;"Times New Roman,Bold"&amp;16
2017 CITY OF BELLEVUE PAY PLANS
&amp;14NON-AFFILIATED
POLICE RECORDS SUPERVISORS</oddHeader>
    <oddFooter>&amp;C&amp;"Arial,Bold"&amp;16&amp;A&amp;REffective 01/01/17
System Update 01/xx/17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view="pageLayout" zoomScaleNormal="100" workbookViewId="0">
      <selection sqref="A1:A2"/>
    </sheetView>
  </sheetViews>
  <sheetFormatPr defaultColWidth="9.140625" defaultRowHeight="12.75" x14ac:dyDescent="0.2"/>
  <cols>
    <col min="1" max="1" width="7.7109375" style="526" customWidth="1"/>
    <col min="2" max="2" width="2.7109375" style="526" customWidth="1"/>
    <col min="3" max="3" width="8.28515625" style="526" customWidth="1"/>
    <col min="4" max="4" width="35.7109375" style="246" customWidth="1"/>
    <col min="5" max="5" width="12.28515625" style="274" bestFit="1" customWidth="1"/>
    <col min="6" max="6" width="10.7109375" style="246" bestFit="1" customWidth="1"/>
    <col min="7" max="16384" width="9.140625" style="246"/>
  </cols>
  <sheetData>
    <row r="1" spans="1:9" s="261" customFormat="1" x14ac:dyDescent="0.2">
      <c r="A1" s="540" t="s">
        <v>559</v>
      </c>
      <c r="B1" s="542"/>
      <c r="C1" s="542" t="s">
        <v>0</v>
      </c>
      <c r="D1" s="542" t="s">
        <v>1</v>
      </c>
      <c r="E1" s="627" t="s">
        <v>463</v>
      </c>
      <c r="F1" s="395">
        <v>2017</v>
      </c>
      <c r="I1" s="261">
        <v>2017</v>
      </c>
    </row>
    <row r="2" spans="1:9" s="527" customFormat="1" x14ac:dyDescent="0.2">
      <c r="A2" s="541"/>
      <c r="B2" s="541"/>
      <c r="C2" s="541"/>
      <c r="D2" s="543"/>
      <c r="E2" s="628"/>
      <c r="F2" s="395"/>
      <c r="I2" s="527">
        <v>1.018</v>
      </c>
    </row>
    <row r="3" spans="1:9" x14ac:dyDescent="0.2">
      <c r="A3" s="526" t="s">
        <v>87</v>
      </c>
      <c r="B3" s="526" t="s">
        <v>88</v>
      </c>
      <c r="C3" s="275" t="s">
        <v>364</v>
      </c>
      <c r="D3" s="246" t="s">
        <v>37</v>
      </c>
      <c r="E3" s="387">
        <f>E4/12</f>
        <v>21673.099239750001</v>
      </c>
      <c r="F3" s="246" t="s">
        <v>10</v>
      </c>
    </row>
    <row r="4" spans="1:9" x14ac:dyDescent="0.2">
      <c r="C4" s="275"/>
      <c r="D4" s="315"/>
      <c r="E4" s="387">
        <f>247692.56274*1.05</f>
        <v>260077.19087700002</v>
      </c>
      <c r="F4" s="246" t="s">
        <v>529</v>
      </c>
    </row>
    <row r="5" spans="1:9" x14ac:dyDescent="0.2">
      <c r="E5" s="385">
        <f>E4/2080</f>
        <v>125.03711099855769</v>
      </c>
      <c r="F5" s="246" t="s">
        <v>11</v>
      </c>
    </row>
    <row r="6" spans="1:9" ht="35.1" customHeight="1" x14ac:dyDescent="0.2"/>
    <row r="8" spans="1:9" x14ac:dyDescent="0.2">
      <c r="E8" s="317"/>
    </row>
    <row r="9" spans="1:9" x14ac:dyDescent="0.2">
      <c r="E9" s="388"/>
    </row>
  </sheetData>
  <mergeCells count="5">
    <mergeCell ref="A1:A2"/>
    <mergeCell ref="B1:B2"/>
    <mergeCell ref="C1:C2"/>
    <mergeCell ref="D1:D2"/>
    <mergeCell ref="E1:E2"/>
  </mergeCells>
  <printOptions horizontalCentered="1" gridLines="1"/>
  <pageMargins left="0.25" right="0.25" top="1.75" bottom="1" header="0.5" footer="0.5"/>
  <pageSetup orientation="portrait" r:id="rId1"/>
  <headerFooter alignWithMargins="0">
    <oddHeader>&amp;LOrdinance #6333 (pay rate adoption)
Ordinance #6163,6268,6341(CM Comp)&amp;C&amp;12&amp;KFF0000  Effective Feb. 24, 2017 
&amp;"Arial,Bold"&amp;16 &amp;K0000002017 CITY OF BELLEVUE PAY PLANS
&amp;14NON-AFFILIATED
CITY MANAGER</oddHeader>
    <oddFooter>&amp;L* Position is exempt from overtime.
&amp;"Arial,Bold"&amp;UNOTE&amp;"Arial,Regular"&amp;U:  All changes to this pay plan are 
subject to City Council approval. &amp;C&amp;"Arial,Bold"&amp;16&amp;A&amp;REffective 01/01/17
System Update 01/xx/17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I11"/>
  <sheetViews>
    <sheetView view="pageLayout" zoomScaleNormal="100" workbookViewId="0">
      <selection sqref="A1:A2"/>
    </sheetView>
  </sheetViews>
  <sheetFormatPr defaultColWidth="9.140625" defaultRowHeight="12.75" x14ac:dyDescent="0.2"/>
  <cols>
    <col min="1" max="1" width="7.7109375" style="273" customWidth="1"/>
    <col min="2" max="2" width="2.7109375" style="273" customWidth="1"/>
    <col min="3" max="3" width="8.28515625" style="273" customWidth="1"/>
    <col min="4" max="4" width="35.7109375" style="246" customWidth="1"/>
    <col min="5" max="5" width="12.28515625" style="274" bestFit="1" customWidth="1"/>
    <col min="6" max="6" width="10.7109375" style="246" bestFit="1" customWidth="1"/>
    <col min="7" max="16384" width="9.140625" style="246"/>
  </cols>
  <sheetData>
    <row r="1" spans="1:9" s="261" customFormat="1" x14ac:dyDescent="0.2">
      <c r="A1" s="540" t="s">
        <v>559</v>
      </c>
      <c r="B1" s="542"/>
      <c r="C1" s="542" t="s">
        <v>0</v>
      </c>
      <c r="D1" s="542" t="s">
        <v>1</v>
      </c>
      <c r="E1" s="627" t="s">
        <v>463</v>
      </c>
      <c r="F1" s="395">
        <v>2017</v>
      </c>
      <c r="I1" s="261">
        <v>2017</v>
      </c>
    </row>
    <row r="2" spans="1:9" s="264" customFormat="1" x14ac:dyDescent="0.2">
      <c r="A2" s="541"/>
      <c r="B2" s="541"/>
      <c r="C2" s="541"/>
      <c r="D2" s="543"/>
      <c r="E2" s="628"/>
      <c r="F2" s="395"/>
      <c r="I2" s="264">
        <v>1.018</v>
      </c>
    </row>
    <row r="3" spans="1:9" x14ac:dyDescent="0.2">
      <c r="A3" s="273" t="s">
        <v>87</v>
      </c>
      <c r="B3" s="273" t="s">
        <v>88</v>
      </c>
      <c r="C3" s="275" t="s">
        <v>364</v>
      </c>
      <c r="D3" s="246" t="s">
        <v>37</v>
      </c>
      <c r="E3" s="387">
        <f>E4/12</f>
        <v>20641.046894999999</v>
      </c>
      <c r="F3" s="246" t="s">
        <v>10</v>
      </c>
    </row>
    <row r="4" spans="1:9" x14ac:dyDescent="0.2">
      <c r="C4" s="275"/>
      <c r="D4" s="315"/>
      <c r="E4" s="387">
        <f>243312.93*$I$2</f>
        <v>247692.56273999999</v>
      </c>
      <c r="F4" s="246" t="s">
        <v>529</v>
      </c>
    </row>
    <row r="5" spans="1:9" x14ac:dyDescent="0.2">
      <c r="E5" s="385">
        <f>E4/2080</f>
        <v>119.08296285576922</v>
      </c>
      <c r="F5" s="246" t="s">
        <v>11</v>
      </c>
    </row>
    <row r="6" spans="1:9" ht="35.1" customHeight="1" x14ac:dyDescent="0.2"/>
    <row r="8" spans="1:9" x14ac:dyDescent="0.2">
      <c r="E8" s="317"/>
    </row>
    <row r="9" spans="1:9" x14ac:dyDescent="0.2">
      <c r="E9" s="388"/>
    </row>
    <row r="10" spans="1:9" x14ac:dyDescent="0.2">
      <c r="F10" s="529"/>
    </row>
    <row r="11" spans="1:9" x14ac:dyDescent="0.2">
      <c r="E11" s="317"/>
    </row>
  </sheetData>
  <customSheetViews>
    <customSheetView guid="{03674138-A9FA-46A6-AB09-A74C70852C0D}" showPageBreaks="1" printArea="1" view="pageLayout">
      <selection activeCell="F16" sqref="E16:F16"/>
      <pageMargins left="0.25" right="0.25" top="1.75" bottom="1" header="0.5" footer="0.5"/>
      <printOptions horizontalCentered="1" gridLines="1"/>
      <pageSetup orientation="portrait" r:id="rId1"/>
      <headerFooter alignWithMargins="0">
        <oddHeader>&amp;L&amp;"Times New Roman,Regular"Ordinance #  (pay rate adoption)
Ordinance #6163 (CM Comp)&amp;C&amp;"Times New Roman,Bold"&amp;16ATTACHMENT I
2016 CITY OF BELLEVUE PAY PLANS
NON-AFFILIATED
CITY MANAGER</oddHeader>
        <oddFooter>&amp;L&amp;"Times New Roman,Regular"* Position is exempt from overtime.
&amp;"Times New Roman,Bold"&amp;UNOTE&amp;"Times New Roman,Regular"&amp;U:  All changes to this pay plan are 
subject to City Council approval. &amp;C&amp;"Arial,Bold"&amp;16&amp;A</oddFooter>
      </headerFooter>
    </customSheetView>
    <customSheetView guid="{6140C585-A678-4296-91B8-0C17DF653D09}" showPageBreaks="1" printArea="1" view="pageLayout">
      <selection sqref="A1:A2"/>
      <pageMargins left="0.25" right="0.25" top="1.75" bottom="1" header="0.5" footer="0.5"/>
      <printOptions horizontalCentered="1" gridLines="1"/>
      <pageSetup orientation="portrait" r:id="rId2"/>
      <headerFooter alignWithMargins="0">
        <oddHeader>&amp;LOrdinance #  (pay rate adoption)
Ordinance #6163 (CM Comp)&amp;C&amp;"Arial,Bold"&amp;16
2016 CITY OF BELLEVUE PAY PLANS
&amp;14NON-AFFILIATED
CITY MANAGER</oddHeader>
        <oddFooter>&amp;L* Position is exempt from overtime.
&amp;"Arial,Bold"&amp;UNOTE&amp;"Arial,Regular"&amp;U:  All changes to this pay plan are 
subject to City Council approval. &amp;C&amp;"Arial,Bold"&amp;16&amp;A&amp;REffective 01/01/16
System Update 01/xx/16</oddFooter>
      </headerFooter>
    </customSheetView>
    <customSheetView guid="{49073133-97C6-4E81-BEFE-D9E658C173F7}" showPageBreaks="1" printArea="1" view="pageLayout">
      <selection sqref="A1:A2"/>
      <pageMargins left="0.25" right="0.25" top="1.75" bottom="1" header="0.5" footer="0.5"/>
      <printOptions horizontalCentered="1" gridLines="1"/>
      <pageSetup orientation="portrait" r:id="rId3"/>
      <headerFooter alignWithMargins="0">
        <oddHeader>&amp;LOrdinance #  (pay rate adoption)
Ordinance #6163 (CM Comp)&amp;C&amp;"Arial,Bold"&amp;16
2016 CITY OF BELLEVUE PAY PLANS
&amp;14NON-AFFILIATED
CITY MANAGER</oddHeader>
        <oddFooter>&amp;L* Position is exempt from overtime.
&amp;"Arial,Bold"&amp;UNOTE&amp;"Arial,Regular"&amp;U:  All changes to this pay plan are 
subject to City Council approval. &amp;C&amp;"Arial,Bold"&amp;16&amp;A&amp;REffective 01/01/16
System Update 01/xx/16</oddFooter>
      </headerFooter>
    </customSheetView>
  </customSheetViews>
  <mergeCells count="5">
    <mergeCell ref="A1:A2"/>
    <mergeCell ref="C1:C2"/>
    <mergeCell ref="D1:D2"/>
    <mergeCell ref="E1:E2"/>
    <mergeCell ref="B1:B2"/>
  </mergeCells>
  <phoneticPr fontId="7" type="noConversion"/>
  <printOptions horizontalCentered="1" gridLines="1"/>
  <pageMargins left="0.25" right="0.25" top="1.75" bottom="1" header="0.5" footer="0.5"/>
  <pageSetup orientation="portrait" r:id="rId4"/>
  <headerFooter alignWithMargins="0">
    <oddHeader>&amp;LOrdinance #6333 (pay rate adoption)
Ordinance #6163,6268(CM Comp)&amp;C&amp;12&amp;KFF0000    Effective Jan. 1 through Feb. 23, 2017&amp;"Arial,Bold"&amp;16&amp;K000000
2017 CITY OF BELLEVUE PAY PLANS
&amp;14NON-AFFILIATED
CITY MANAGER</oddHeader>
    <oddFooter>&amp;L* Position is exempt from overtime.
&amp;"Arial,Bold"&amp;UNOTE&amp;"Arial,Regular"&amp;U:  All changes to this pay plan are 
subject to City Council approval. &amp;C&amp;"Arial,Bold"&amp;16&amp;A&amp;REffective 01/01/17
System Update 01/xx/17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M9"/>
  <sheetViews>
    <sheetView view="pageLayout" zoomScaleNormal="100" workbookViewId="0">
      <selection sqref="A1:A2"/>
    </sheetView>
  </sheetViews>
  <sheetFormatPr defaultColWidth="9.140625" defaultRowHeight="12.75" x14ac:dyDescent="0.2"/>
  <cols>
    <col min="1" max="1" width="5.7109375" style="273" customWidth="1"/>
    <col min="2" max="2" width="2.7109375" style="273" customWidth="1"/>
    <col min="3" max="3" width="8.28515625" style="273" customWidth="1"/>
    <col min="4" max="4" width="39.5703125" style="246" bestFit="1" customWidth="1"/>
    <col min="5" max="7" width="11.7109375" style="317" customWidth="1"/>
    <col min="8" max="8" width="11.5703125" style="246" bestFit="1" customWidth="1"/>
    <col min="9" max="10" width="9.140625" style="246"/>
    <col min="11" max="11" width="14" style="246" bestFit="1" customWidth="1"/>
    <col min="12" max="16384" width="9.140625" style="246"/>
  </cols>
  <sheetData>
    <row r="1" spans="1:13" s="261" customFormat="1" x14ac:dyDescent="0.2">
      <c r="A1" s="563" t="s">
        <v>559</v>
      </c>
      <c r="B1" s="565"/>
      <c r="C1" s="565" t="s">
        <v>0</v>
      </c>
      <c r="D1" s="565" t="s">
        <v>1</v>
      </c>
      <c r="E1" s="586"/>
      <c r="F1" s="586"/>
      <c r="G1" s="586" t="s">
        <v>382</v>
      </c>
      <c r="H1" s="399">
        <v>2016</v>
      </c>
      <c r="J1" s="261" t="s">
        <v>953</v>
      </c>
      <c r="K1" s="389">
        <v>2.7E-2</v>
      </c>
      <c r="L1" s="309"/>
      <c r="M1" s="309"/>
    </row>
    <row r="2" spans="1:13" s="264" customFormat="1" x14ac:dyDescent="0.2">
      <c r="A2" s="564"/>
      <c r="B2" s="564"/>
      <c r="C2" s="564"/>
      <c r="D2" s="566"/>
      <c r="E2" s="587"/>
      <c r="F2" s="587"/>
      <c r="G2" s="587"/>
      <c r="H2" s="398"/>
      <c r="K2" s="390"/>
      <c r="L2" s="384" t="s">
        <v>466</v>
      </c>
      <c r="M2" s="384" t="s">
        <v>467</v>
      </c>
    </row>
    <row r="3" spans="1:13" x14ac:dyDescent="0.2">
      <c r="A3" s="266" t="s">
        <v>394</v>
      </c>
      <c r="B3" s="263" t="s">
        <v>88</v>
      </c>
      <c r="C3" s="266" t="s">
        <v>361</v>
      </c>
      <c r="D3" s="339" t="s">
        <v>951</v>
      </c>
      <c r="E3" s="323"/>
      <c r="F3" s="323"/>
      <c r="G3" s="323">
        <f>G4/12</f>
        <v>11409.232849840288</v>
      </c>
      <c r="H3" s="253" t="s">
        <v>10</v>
      </c>
      <c r="K3" s="312" t="s">
        <v>460</v>
      </c>
      <c r="L3" s="291" t="e">
        <f>(F3-E3)/E3</f>
        <v>#DIV/0!</v>
      </c>
      <c r="M3" s="291" t="e">
        <f>(G3-F3)/F3</f>
        <v>#DIV/0!</v>
      </c>
    </row>
    <row r="4" spans="1:13" x14ac:dyDescent="0.2">
      <c r="A4" s="263"/>
      <c r="B4" s="263"/>
      <c r="C4" s="266"/>
      <c r="D4" s="339"/>
      <c r="E4" s="257"/>
      <c r="F4" s="257"/>
      <c r="G4" s="257">
        <f>'L-Batt Chiefs (rep)'!G4*1.065</f>
        <v>136910.79419808346</v>
      </c>
      <c r="H4" s="253" t="s">
        <v>529</v>
      </c>
      <c r="K4" s="312" t="s">
        <v>461</v>
      </c>
      <c r="L4" s="291" t="e">
        <f>(G3-E3)/E3</f>
        <v>#DIV/0!</v>
      </c>
    </row>
    <row r="5" spans="1:13" x14ac:dyDescent="0.2">
      <c r="A5" s="263"/>
      <c r="B5" s="263"/>
      <c r="C5" s="263"/>
      <c r="D5" s="253"/>
      <c r="E5" s="252"/>
      <c r="F5" s="252"/>
      <c r="G5" s="252">
        <f>G4/2080</f>
        <v>65.822497210617044</v>
      </c>
      <c r="H5" s="253" t="s">
        <v>11</v>
      </c>
    </row>
    <row r="6" spans="1:13" ht="35.1" customHeight="1" x14ac:dyDescent="0.2">
      <c r="A6" s="333"/>
      <c r="B6" s="333"/>
      <c r="C6" s="333"/>
      <c r="D6" s="333" t="s">
        <v>1065</v>
      </c>
      <c r="E6" s="333"/>
      <c r="F6" s="333"/>
      <c r="G6" s="257"/>
      <c r="H6" s="253"/>
    </row>
    <row r="7" spans="1:13" x14ac:dyDescent="0.2">
      <c r="A7" s="263"/>
      <c r="B7" s="263"/>
      <c r="C7" s="263"/>
      <c r="D7" s="253"/>
      <c r="E7" s="257"/>
      <c r="F7" s="257"/>
      <c r="G7" s="257"/>
      <c r="H7" s="253"/>
    </row>
    <row r="8" spans="1:13" x14ac:dyDescent="0.2">
      <c r="A8" s="263"/>
      <c r="B8" s="263"/>
      <c r="C8" s="263"/>
      <c r="D8" s="253"/>
      <c r="E8" s="257"/>
      <c r="F8" s="257"/>
      <c r="G8" s="257"/>
      <c r="H8" s="253"/>
    </row>
    <row r="9" spans="1:13" x14ac:dyDescent="0.2">
      <c r="A9" s="263"/>
      <c r="B9" s="263"/>
      <c r="C9" s="263"/>
      <c r="D9" s="253"/>
      <c r="E9" s="257"/>
      <c r="F9" s="257"/>
      <c r="G9" s="257"/>
      <c r="H9" s="253"/>
    </row>
  </sheetData>
  <customSheetViews>
    <customSheetView guid="{03674138-A9FA-46A6-AB09-A74C70852C0D}" showPageBreaks="1" printArea="1" view="pageLayout">
      <selection activeCell="H23" sqref="H23"/>
      <pageMargins left="0.25" right="0.25" top="1.93" bottom="1" header="0.5" footer="0.5"/>
      <printOptions horizontalCentered="1" gridLines="1"/>
      <pageSetup orientation="portrait" r:id="rId1"/>
      <headerFooter alignWithMargins="0">
        <oddHeader>&amp;L&amp;"Times New Roman,Regular"Ordinance # (budget adoption)
Resolution #8784 (contract adoption)&amp;C&amp;"Times New Roman,Bold"&amp;16
ATTACHMENT I
2016 CITY OF BELLEVUE PAY PLANS
INTERNATIONAL ASSOC OF FIREFIGHTERS UNION, LOCAL #1604 ADMIN FIRE BATTALION CHIEFS</oddHeader>
        <oddFooter>&amp;L&amp;"Times New Roman,Regular"* Position is exempt from overtime.&amp;C&amp;"Times New Roman,Bold"&amp;16&amp;A</oddFooter>
      </headerFooter>
    </customSheetView>
    <customSheetView guid="{6140C585-A678-4296-91B8-0C17DF653D09}" showPageBreaks="1" printArea="1" view="pageLayout">
      <selection sqref="A1:A2"/>
      <pageMargins left="0.25" right="0.25" top="1.93" bottom="1" header="0.5" footer="0.5"/>
      <printOptions horizontalCentered="1" gridLines="1"/>
      <pageSetup orientation="portrait" r:id="rId2"/>
      <headerFooter alignWithMargins="0">
        <oddHeader>&amp;LOrdinance # (budget adoption)
Resolution #8784 (contract adoption)&amp;C&amp;"Arial,Bold"&amp;16
2016 CITY OF BELLEVUE PAY PLANS
&amp;14INTERNATIONAL ASSOCIATION OF FIREFIGHTERS UNION, LOCAL #1604 ADMINISTRATIVE FIRE BATTALION CHIEFS</oddHeader>
        <oddFooter>&amp;L* Position is exempt from overtime.&amp;C&amp;"Arial,Bold"&amp;16&amp;A&amp;REffective 01/01/16
System Update 01/xx/16</oddFooter>
      </headerFooter>
    </customSheetView>
    <customSheetView guid="{49073133-97C6-4E81-BEFE-D9E658C173F7}" showPageBreaks="1" printArea="1" view="pageLayout">
      <selection sqref="A1:A2"/>
      <pageMargins left="0.25" right="0.25" top="1.93" bottom="1" header="0.5" footer="0.5"/>
      <printOptions horizontalCentered="1" gridLines="1"/>
      <pageSetup orientation="portrait" r:id="rId3"/>
      <headerFooter alignWithMargins="0">
        <oddHeader>&amp;LOrdinance # (budget adoption)
Resolution #8784 (contract adoption)&amp;C&amp;"Arial,Bold"&amp;16
2016 CITY OF BELLEVUE PAY PLANS
&amp;14INTERNATIONAL ASSOCIATION OF FIREFIGHTERS UNION, LOCAL #1604 ADMINISTRATIVE FIRE BATTALION CHIEFS</oddHeader>
        <oddFooter>&amp;L* Position is exempt from overtime.&amp;C&amp;"Arial,Bold"&amp;16&amp;A&amp;REffective 01/01/16
System Update 01/xx/16</oddFooter>
      </headerFooter>
    </customSheetView>
  </customSheetViews>
  <mergeCells count="7">
    <mergeCell ref="F1:F2"/>
    <mergeCell ref="G1:G2"/>
    <mergeCell ref="A1:A2"/>
    <mergeCell ref="C1:C2"/>
    <mergeCell ref="D1:D2"/>
    <mergeCell ref="E1:E2"/>
    <mergeCell ref="B1:B2"/>
  </mergeCells>
  <phoneticPr fontId="7" type="noConversion"/>
  <printOptions horizontalCentered="1" gridLines="1"/>
  <pageMargins left="0.25" right="0.25" top="1.93" bottom="1" header="0.5" footer="0.5"/>
  <pageSetup orientation="portrait" r:id="rId4"/>
  <headerFooter alignWithMargins="0">
    <oddHeader>&amp;LOrdinance #6333 (pay plan adoption)
Resolution #8784 (contract adoption)&amp;C&amp;"Times New Roman,Bold"&amp;16
2016 CITY OF BELLEVUE PAY PLANS
&amp;14INTERNATIONAL ASSOCIATION OF FIREFIGHTERS UNION, LOCAL #1604 ADMINISTRATIVE FIRE BATTALION CHIEFS</oddHeader>
    <oddFooter>&amp;L* Position is exempt from overtime.&amp;C&amp;"Arial,Bold"&amp;16&amp;A&amp;REffective 01/01/16
System Update 01/xx/16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8"/>
  <sheetViews>
    <sheetView view="pageLayout" zoomScale="85" zoomScaleNormal="100" zoomScalePageLayoutView="85" workbookViewId="0">
      <selection sqref="A1:A2"/>
    </sheetView>
  </sheetViews>
  <sheetFormatPr defaultColWidth="8.85546875" defaultRowHeight="12.75" x14ac:dyDescent="0.2"/>
  <cols>
    <col min="1" max="1" width="5" style="409" customWidth="1"/>
    <col min="2" max="2" width="8.140625" style="413" customWidth="1"/>
    <col min="3" max="3" width="28.7109375" style="412" customWidth="1"/>
    <col min="4" max="10" width="10.7109375" style="415" customWidth="1"/>
    <col min="11" max="11" width="9.85546875" style="412" bestFit="1" customWidth="1"/>
    <col min="12" max="13" width="8.85546875" style="412"/>
    <col min="14" max="14" width="17" style="412" bestFit="1" customWidth="1"/>
    <col min="15" max="15" width="11.28515625" style="412" bestFit="1" customWidth="1"/>
    <col min="16" max="16384" width="8.85546875" style="412"/>
  </cols>
  <sheetData>
    <row r="1" spans="1:22" s="404" customFormat="1" ht="12.75" customHeight="1" x14ac:dyDescent="0.2">
      <c r="A1" s="545" t="s">
        <v>559</v>
      </c>
      <c r="B1" s="547" t="s">
        <v>0</v>
      </c>
      <c r="C1" s="547" t="s">
        <v>1</v>
      </c>
      <c r="D1" s="550" t="s">
        <v>2</v>
      </c>
      <c r="E1" s="550"/>
      <c r="F1" s="550"/>
      <c r="G1" s="550"/>
      <c r="H1" s="550"/>
      <c r="I1" s="550"/>
      <c r="J1" s="550"/>
      <c r="K1" s="434">
        <v>2017</v>
      </c>
      <c r="L1" s="403"/>
      <c r="M1" s="404" t="s">
        <v>1061</v>
      </c>
      <c r="N1" s="262">
        <v>1.018</v>
      </c>
      <c r="O1" s="544" t="s">
        <v>2</v>
      </c>
      <c r="P1" s="544"/>
      <c r="Q1" s="544"/>
      <c r="R1" s="544"/>
      <c r="S1" s="544"/>
      <c r="T1" s="544"/>
      <c r="U1" s="261"/>
      <c r="V1" s="261"/>
    </row>
    <row r="2" spans="1:22" s="405" customFormat="1" x14ac:dyDescent="0.2">
      <c r="A2" s="546"/>
      <c r="B2" s="548"/>
      <c r="C2" s="549"/>
      <c r="D2" s="416">
        <v>1</v>
      </c>
      <c r="E2" s="416">
        <v>2</v>
      </c>
      <c r="F2" s="416">
        <v>3</v>
      </c>
      <c r="G2" s="416">
        <v>4</v>
      </c>
      <c r="H2" s="416">
        <v>5</v>
      </c>
      <c r="I2" s="416">
        <v>6</v>
      </c>
      <c r="J2" s="416" t="s">
        <v>517</v>
      </c>
      <c r="K2" s="435"/>
      <c r="M2" s="405" t="s">
        <v>431</v>
      </c>
      <c r="N2" s="506">
        <v>1.028</v>
      </c>
      <c r="O2" s="265" t="s">
        <v>455</v>
      </c>
      <c r="P2" s="265" t="s">
        <v>456</v>
      </c>
      <c r="Q2" s="265" t="s">
        <v>457</v>
      </c>
      <c r="R2" s="265" t="s">
        <v>458</v>
      </c>
      <c r="S2" s="265" t="s">
        <v>459</v>
      </c>
      <c r="T2" s="402">
        <v>6</v>
      </c>
      <c r="U2" s="393"/>
      <c r="V2" s="393"/>
    </row>
    <row r="3" spans="1:22" s="407" customFormat="1" x14ac:dyDescent="0.2">
      <c r="A3" s="360" t="s">
        <v>1023</v>
      </c>
      <c r="B3" s="417" t="s">
        <v>1024</v>
      </c>
      <c r="C3" s="551" t="s">
        <v>1020</v>
      </c>
      <c r="D3" s="268">
        <f t="shared" ref="D3:I3" si="0">D4/12</f>
        <v>2523.282666666667</v>
      </c>
      <c r="E3" s="268">
        <f t="shared" si="0"/>
        <v>2689.1487999999999</v>
      </c>
      <c r="F3" s="268">
        <f t="shared" si="0"/>
        <v>2869.1312000000003</v>
      </c>
      <c r="G3" s="268">
        <f t="shared" si="0"/>
        <v>3061.4653333333335</v>
      </c>
      <c r="H3" s="268">
        <f t="shared" si="0"/>
        <v>3262.6221333333337</v>
      </c>
      <c r="I3" s="268">
        <f t="shared" si="0"/>
        <v>3483.1887999999994</v>
      </c>
      <c r="J3" s="418"/>
      <c r="K3" s="357" t="s">
        <v>10</v>
      </c>
      <c r="N3" s="269" t="s">
        <v>460</v>
      </c>
      <c r="O3" s="270">
        <f>(E3-D3)/D3</f>
        <v>6.5734265734265593E-2</v>
      </c>
      <c r="P3" s="270">
        <f>(F3-E3)/E3</f>
        <v>6.6929133858267834E-2</v>
      </c>
      <c r="Q3" s="270">
        <f>(G3-F3)/F3</f>
        <v>6.7035670356703547E-2</v>
      </c>
      <c r="R3" s="270">
        <f>(H3-G3)/G3</f>
        <v>6.5706051873198904E-2</v>
      </c>
      <c r="S3" s="270">
        <f>(I3-H3)/H3</f>
        <v>6.7604110329907749E-2</v>
      </c>
      <c r="T3" s="253"/>
      <c r="U3" s="253"/>
      <c r="V3" s="253"/>
    </row>
    <row r="4" spans="1:22" s="407" customFormat="1" x14ac:dyDescent="0.2">
      <c r="A4" s="396"/>
      <c r="B4" s="360"/>
      <c r="C4" s="552"/>
      <c r="D4" s="418">
        <f t="shared" ref="D4:I4" si="1">D5*2080</f>
        <v>30279.392000000003</v>
      </c>
      <c r="E4" s="418">
        <f t="shared" si="1"/>
        <v>32269.785599999999</v>
      </c>
      <c r="F4" s="418">
        <f t="shared" si="1"/>
        <v>34429.574400000005</v>
      </c>
      <c r="G4" s="418">
        <f t="shared" si="1"/>
        <v>36737.584000000003</v>
      </c>
      <c r="H4" s="418">
        <f t="shared" si="1"/>
        <v>39151.465600000003</v>
      </c>
      <c r="I4" s="418">
        <f t="shared" si="1"/>
        <v>41798.265599999992</v>
      </c>
      <c r="J4" s="418"/>
      <c r="K4" s="356" t="s">
        <v>529</v>
      </c>
      <c r="N4" s="269" t="s">
        <v>461</v>
      </c>
      <c r="O4" s="270">
        <f>(I3-D3)/D3</f>
        <v>0.38041958041958002</v>
      </c>
      <c r="P4" s="253"/>
      <c r="Q4" s="253"/>
      <c r="R4" s="253"/>
      <c r="S4" s="253"/>
      <c r="T4" s="253"/>
      <c r="U4" s="253"/>
      <c r="V4" s="253"/>
    </row>
    <row r="5" spans="1:22" s="407" customFormat="1" x14ac:dyDescent="0.2">
      <c r="A5" s="396"/>
      <c r="B5" s="360"/>
      <c r="C5" s="357"/>
      <c r="D5" s="252">
        <f>'A- Maint (rep)'!D3</f>
        <v>14.557400000000001</v>
      </c>
      <c r="E5" s="252">
        <f>'A- Maint (rep)'!E3</f>
        <v>15.51432</v>
      </c>
      <c r="F5" s="252">
        <f>'A- Maint (rep)'!F3</f>
        <v>16.552680000000002</v>
      </c>
      <c r="G5" s="252">
        <f>'A- Maint (rep)'!G3</f>
        <v>17.662300000000002</v>
      </c>
      <c r="H5" s="252">
        <f>'A- Maint (rep)'!H3</f>
        <v>18.82282</v>
      </c>
      <c r="I5" s="252">
        <f>'A- Maint (rep)'!I3</f>
        <v>20.095319999999997</v>
      </c>
      <c r="J5" s="252"/>
      <c r="K5" s="357" t="s">
        <v>11</v>
      </c>
      <c r="N5" s="259" t="s">
        <v>462</v>
      </c>
      <c r="O5" s="270">
        <f t="shared" ref="O5:T5" si="2">(D7-D3)/D3</f>
        <v>0.22295790747713803</v>
      </c>
      <c r="P5" s="270">
        <f t="shared" si="2"/>
        <v>0.20690528467595409</v>
      </c>
      <c r="Q5" s="270">
        <f t="shared" si="2"/>
        <v>0.18994181095657106</v>
      </c>
      <c r="R5" s="270">
        <f t="shared" si="2"/>
        <v>0.1979749501219242</v>
      </c>
      <c r="S5" s="270">
        <f t="shared" si="2"/>
        <v>0.18315503182593484</v>
      </c>
      <c r="T5" s="270">
        <f t="shared" si="2"/>
        <v>0.16462795183539891</v>
      </c>
      <c r="U5" s="253"/>
      <c r="V5" s="253"/>
    </row>
    <row r="6" spans="1:22" s="407" customFormat="1" ht="18" customHeight="1" x14ac:dyDescent="0.2">
      <c r="A6" s="396"/>
      <c r="B6" s="396"/>
      <c r="C6" s="357"/>
      <c r="D6" s="252"/>
      <c r="E6" s="252"/>
      <c r="F6" s="252"/>
      <c r="G6" s="252"/>
      <c r="H6" s="252"/>
      <c r="I6" s="252"/>
      <c r="J6" s="418"/>
      <c r="K6" s="357"/>
      <c r="N6" s="253"/>
      <c r="O6" s="253"/>
      <c r="P6" s="253"/>
      <c r="Q6" s="253"/>
      <c r="R6" s="253"/>
      <c r="S6" s="253"/>
      <c r="T6" s="253"/>
      <c r="U6" s="253"/>
      <c r="V6" s="253"/>
    </row>
    <row r="7" spans="1:22" s="407" customFormat="1" x14ac:dyDescent="0.2">
      <c r="A7" s="360" t="s">
        <v>429</v>
      </c>
      <c r="B7" s="417" t="s">
        <v>305</v>
      </c>
      <c r="C7" s="356" t="s">
        <v>523</v>
      </c>
      <c r="D7" s="268">
        <f>3031.305*$N$1</f>
        <v>3085.8684899999998</v>
      </c>
      <c r="E7" s="268">
        <f>3188.161*$N$1</f>
        <v>3245.5478980000003</v>
      </c>
      <c r="F7" s="268">
        <f>3353.732*$N$1</f>
        <v>3414.0991760000002</v>
      </c>
      <c r="G7" s="268">
        <f>3602.71*$N$1</f>
        <v>3667.5587800000003</v>
      </c>
      <c r="H7" s="268">
        <f>3791.933*$N$1</f>
        <v>3860.1877939999999</v>
      </c>
      <c r="I7" s="268">
        <f>3984.891*$N$1</f>
        <v>4056.6190380000003</v>
      </c>
      <c r="J7" s="418"/>
      <c r="K7" s="357" t="s">
        <v>10</v>
      </c>
      <c r="N7" s="269" t="s">
        <v>460</v>
      </c>
      <c r="O7" s="270">
        <f>(E7-D7)/D7</f>
        <v>5.1745370393279602E-2</v>
      </c>
      <c r="P7" s="270">
        <f>(F7-E7)/E7</f>
        <v>5.1933073643395014E-2</v>
      </c>
      <c r="Q7" s="270">
        <f>(G7-F7)/F7</f>
        <v>7.4239086486338243E-2</v>
      </c>
      <c r="R7" s="270">
        <f>(H7-G7)/G7</f>
        <v>5.2522406743812193E-2</v>
      </c>
      <c r="S7" s="270">
        <f>(I7-H7)/H7</f>
        <v>5.0886447624470248E-2</v>
      </c>
      <c r="T7" s="253"/>
      <c r="U7" s="253"/>
      <c r="V7" s="253"/>
    </row>
    <row r="8" spans="1:22" s="407" customFormat="1" x14ac:dyDescent="0.2">
      <c r="A8" s="396"/>
      <c r="B8" s="360"/>
      <c r="C8" s="357"/>
      <c r="D8" s="418">
        <f t="shared" ref="D8:I8" si="3">D7*12</f>
        <v>37030.421879999994</v>
      </c>
      <c r="E8" s="418">
        <f t="shared" si="3"/>
        <v>38946.574776000001</v>
      </c>
      <c r="F8" s="418">
        <f t="shared" si="3"/>
        <v>40969.190112000004</v>
      </c>
      <c r="G8" s="418">
        <f t="shared" si="3"/>
        <v>44010.705360000007</v>
      </c>
      <c r="H8" s="418">
        <f t="shared" si="3"/>
        <v>46322.253528000001</v>
      </c>
      <c r="I8" s="418">
        <f t="shared" si="3"/>
        <v>48679.428456000001</v>
      </c>
      <c r="J8" s="418"/>
      <c r="K8" s="356" t="s">
        <v>529</v>
      </c>
      <c r="N8" s="269" t="s">
        <v>461</v>
      </c>
      <c r="O8" s="270">
        <f>(I7-D7)/D7</f>
        <v>0.3145793643331834</v>
      </c>
      <c r="P8" s="253"/>
      <c r="Q8" s="253"/>
      <c r="R8" s="253"/>
      <c r="S8" s="253"/>
      <c r="T8" s="253"/>
      <c r="U8" s="253"/>
      <c r="V8" s="253"/>
    </row>
    <row r="9" spans="1:22" s="407" customFormat="1" x14ac:dyDescent="0.2">
      <c r="A9" s="396"/>
      <c r="B9" s="360"/>
      <c r="C9" s="357"/>
      <c r="D9" s="252">
        <f t="shared" ref="D9:I9" si="4">D8/2080</f>
        <v>17.803087442307689</v>
      </c>
      <c r="E9" s="252">
        <f t="shared" si="4"/>
        <v>18.724314796153848</v>
      </c>
      <c r="F9" s="252">
        <f t="shared" si="4"/>
        <v>19.696726015384616</v>
      </c>
      <c r="G9" s="252">
        <f t="shared" si="4"/>
        <v>21.158992961538466</v>
      </c>
      <c r="H9" s="252">
        <f t="shared" si="4"/>
        <v>22.270314196153848</v>
      </c>
      <c r="I9" s="252">
        <f t="shared" si="4"/>
        <v>23.403571373076925</v>
      </c>
      <c r="J9" s="252"/>
      <c r="K9" s="357" t="s">
        <v>11</v>
      </c>
      <c r="N9" s="259" t="s">
        <v>462</v>
      </c>
      <c r="O9" s="270">
        <f t="shared" ref="O9:T9" si="5">(D11-D7)/D7</f>
        <v>-3.3335477624324532E-3</v>
      </c>
      <c r="P9" s="270">
        <f t="shared" si="5"/>
        <v>1.1241276710931581E-2</v>
      </c>
      <c r="Q9" s="270">
        <f t="shared" si="5"/>
        <v>2.5404931978265873E-2</v>
      </c>
      <c r="R9" s="270">
        <f t="shared" si="5"/>
        <v>1.8048450564528772E-2</v>
      </c>
      <c r="S9" s="270">
        <f t="shared" si="5"/>
        <v>3.1241849473606042E-2</v>
      </c>
      <c r="T9" s="270">
        <f t="shared" si="5"/>
        <v>4.6988069017027768E-2</v>
      </c>
      <c r="U9" s="253"/>
      <c r="V9" s="253"/>
    </row>
    <row r="10" spans="1:22" s="407" customFormat="1" ht="18" customHeight="1" x14ac:dyDescent="0.2">
      <c r="A10" s="396"/>
      <c r="B10" s="396"/>
      <c r="C10" s="357"/>
      <c r="D10" s="418"/>
      <c r="E10" s="418"/>
      <c r="F10" s="418"/>
      <c r="G10" s="418"/>
      <c r="H10" s="418"/>
      <c r="I10" s="418"/>
      <c r="J10" s="418"/>
      <c r="K10" s="357"/>
      <c r="N10" s="253"/>
      <c r="O10" s="253"/>
      <c r="P10" s="253"/>
      <c r="Q10" s="253"/>
      <c r="R10" s="253"/>
      <c r="S10" s="253"/>
      <c r="T10" s="253"/>
      <c r="U10" s="253"/>
      <c r="V10" s="253"/>
    </row>
    <row r="11" spans="1:22" s="407" customFormat="1" x14ac:dyDescent="0.2">
      <c r="A11" s="360" t="s">
        <v>1025</v>
      </c>
      <c r="B11" s="417" t="s">
        <v>1026</v>
      </c>
      <c r="C11" s="551" t="s">
        <v>1021</v>
      </c>
      <c r="D11" s="268">
        <f t="shared" ref="D11:I11" si="6">D12/12</f>
        <v>3075.5815999999995</v>
      </c>
      <c r="E11" s="268">
        <f t="shared" si="6"/>
        <v>3282.0320000000006</v>
      </c>
      <c r="F11" s="268">
        <f t="shared" si="6"/>
        <v>3500.8341333333337</v>
      </c>
      <c r="G11" s="268">
        <f t="shared" si="6"/>
        <v>3733.7525333333338</v>
      </c>
      <c r="H11" s="268">
        <f t="shared" si="6"/>
        <v>3980.7871999999993</v>
      </c>
      <c r="I11" s="268">
        <f t="shared" si="6"/>
        <v>4247.2317333333331</v>
      </c>
      <c r="J11" s="418"/>
      <c r="K11" s="357" t="s">
        <v>10</v>
      </c>
      <c r="N11" s="269" t="s">
        <v>460</v>
      </c>
      <c r="O11" s="270">
        <f>(E11-D11)/D11</f>
        <v>6.7125645438898818E-2</v>
      </c>
      <c r="P11" s="270">
        <f>(F11-E11)/E11</f>
        <v>6.6666666666666596E-2</v>
      </c>
      <c r="Q11" s="270">
        <f>(G11-F11)/F11</f>
        <v>6.6532258064516125E-2</v>
      </c>
      <c r="R11" s="270">
        <f>(H11-G11)/G11</f>
        <v>6.6162570888468497E-2</v>
      </c>
      <c r="S11" s="270">
        <f>(I11-H11)/H11</f>
        <v>6.6932624113475295E-2</v>
      </c>
      <c r="T11" s="253"/>
      <c r="U11" s="253"/>
      <c r="V11" s="253"/>
    </row>
    <row r="12" spans="1:22" s="407" customFormat="1" x14ac:dyDescent="0.2">
      <c r="A12" s="396"/>
      <c r="B12" s="360"/>
      <c r="C12" s="552"/>
      <c r="D12" s="418">
        <f t="shared" ref="D12:I12" si="7">D13*2080</f>
        <v>36906.979199999994</v>
      </c>
      <c r="E12" s="418">
        <f t="shared" si="7"/>
        <v>39384.384000000005</v>
      </c>
      <c r="F12" s="418">
        <f t="shared" si="7"/>
        <v>42010.009600000005</v>
      </c>
      <c r="G12" s="418">
        <f t="shared" si="7"/>
        <v>44805.030400000003</v>
      </c>
      <c r="H12" s="418">
        <f t="shared" si="7"/>
        <v>47769.446399999993</v>
      </c>
      <c r="I12" s="418">
        <f t="shared" si="7"/>
        <v>50966.7808</v>
      </c>
      <c r="J12" s="418"/>
      <c r="K12" s="356" t="s">
        <v>529</v>
      </c>
      <c r="N12" s="269" t="s">
        <v>461</v>
      </c>
      <c r="O12" s="270">
        <f>(I11-D11)/D11</f>
        <v>0.3809523809523811</v>
      </c>
      <c r="P12" s="253"/>
      <c r="Q12" s="253"/>
      <c r="R12" s="253"/>
      <c r="S12" s="253"/>
      <c r="T12" s="253"/>
      <c r="U12" s="253"/>
      <c r="V12" s="253"/>
    </row>
    <row r="13" spans="1:22" s="407" customFormat="1" x14ac:dyDescent="0.2">
      <c r="A13" s="396"/>
      <c r="B13" s="360"/>
      <c r="C13" s="357"/>
      <c r="D13" s="252">
        <f>'A- Maint (rep)'!D6</f>
        <v>17.743739999999999</v>
      </c>
      <c r="E13" s="252">
        <f>'A- Maint (rep)'!E6</f>
        <v>18.934800000000003</v>
      </c>
      <c r="F13" s="252">
        <f>'A- Maint (rep)'!F6</f>
        <v>20.197120000000002</v>
      </c>
      <c r="G13" s="252">
        <f>'A- Maint (rep)'!G6</f>
        <v>21.540880000000001</v>
      </c>
      <c r="H13" s="252">
        <f>'A- Maint (rep)'!H6</f>
        <v>22.966079999999998</v>
      </c>
      <c r="I13" s="252">
        <f>'A- Maint (rep)'!I6</f>
        <v>24.503260000000001</v>
      </c>
      <c r="J13" s="252"/>
      <c r="K13" s="357" t="s">
        <v>11</v>
      </c>
      <c r="N13" s="259" t="s">
        <v>462</v>
      </c>
      <c r="O13" s="270">
        <f t="shared" ref="O13:T13" si="8">(D15-D11)/D11</f>
        <v>0.10367933271547748</v>
      </c>
      <c r="P13" s="270">
        <f t="shared" si="8"/>
        <v>8.7772332506203241E-2</v>
      </c>
      <c r="Q13" s="270">
        <f t="shared" si="8"/>
        <v>7.2746878877171114E-2</v>
      </c>
      <c r="R13" s="270">
        <f t="shared" si="8"/>
        <v>8.0498673113276076E-2</v>
      </c>
      <c r="S13" s="270">
        <f t="shared" si="8"/>
        <v>6.6675020458265302E-2</v>
      </c>
      <c r="T13" s="270">
        <f t="shared" si="8"/>
        <v>5.0632769806014659E-2</v>
      </c>
      <c r="U13" s="253"/>
      <c r="V13" s="253"/>
    </row>
    <row r="14" spans="1:22" s="407" customFormat="1" ht="18" customHeight="1" x14ac:dyDescent="0.2">
      <c r="A14" s="396"/>
      <c r="B14" s="396"/>
      <c r="C14" s="357"/>
      <c r="D14" s="418"/>
      <c r="E14" s="418"/>
      <c r="F14" s="418"/>
      <c r="G14" s="418"/>
      <c r="H14" s="418"/>
      <c r="I14" s="418"/>
      <c r="J14" s="418"/>
      <c r="K14" s="357"/>
      <c r="N14" s="253"/>
      <c r="O14" s="253"/>
      <c r="P14" s="253"/>
      <c r="Q14" s="253"/>
      <c r="R14" s="253"/>
      <c r="S14" s="253"/>
      <c r="T14" s="253"/>
      <c r="U14" s="253"/>
      <c r="V14" s="253"/>
    </row>
    <row r="15" spans="1:22" s="407" customFormat="1" x14ac:dyDescent="0.2">
      <c r="A15" s="360" t="s">
        <v>1075</v>
      </c>
      <c r="B15" s="417" t="s">
        <v>1074</v>
      </c>
      <c r="C15" s="551" t="s">
        <v>1022</v>
      </c>
      <c r="D15" s="268">
        <f>3334.436*$N$1</f>
        <v>3394.4558480000001</v>
      </c>
      <c r="E15" s="268">
        <f>3506.978*$N$1</f>
        <v>3570.1036039999999</v>
      </c>
      <c r="F15" s="268">
        <f>3689.105*$N$1</f>
        <v>3755.5088900000001</v>
      </c>
      <c r="G15" s="268">
        <f>3962.981*$N$1</f>
        <v>4034.3146580000002</v>
      </c>
      <c r="H15" s="268">
        <f>4171.126*$N$1</f>
        <v>4246.2062679999999</v>
      </c>
      <c r="I15" s="268">
        <f>4383.38*$N$1</f>
        <v>4462.2808400000004</v>
      </c>
      <c r="J15" s="418"/>
      <c r="K15" s="357" t="s">
        <v>10</v>
      </c>
      <c r="N15" s="269" t="s">
        <v>460</v>
      </c>
      <c r="O15" s="270">
        <f>(E15-D15)/D15</f>
        <v>5.1745482594357739E-2</v>
      </c>
      <c r="P15" s="270">
        <f>(F15-E15)/E15</f>
        <v>5.1932746655382542E-2</v>
      </c>
      <c r="Q15" s="270">
        <f>(G15-F15)/F15</f>
        <v>7.423914472480457E-2</v>
      </c>
      <c r="R15" s="270">
        <f>(H15-G15)/G15</f>
        <v>5.2522331043222174E-2</v>
      </c>
      <c r="S15" s="270">
        <f>(I15-H15)/H15</f>
        <v>5.0886499233060913E-2</v>
      </c>
      <c r="T15" s="253"/>
      <c r="U15" s="253"/>
      <c r="V15" s="253"/>
    </row>
    <row r="16" spans="1:22" s="407" customFormat="1" x14ac:dyDescent="0.2">
      <c r="A16" s="396"/>
      <c r="B16" s="360"/>
      <c r="C16" s="552"/>
      <c r="D16" s="418">
        <f>D15*12</f>
        <v>40733.470176000003</v>
      </c>
      <c r="E16" s="418">
        <f t="shared" ref="E16:I16" si="9">E15*12</f>
        <v>42841.243247999999</v>
      </c>
      <c r="F16" s="418">
        <f t="shared" si="9"/>
        <v>45066.106679999997</v>
      </c>
      <c r="G16" s="418">
        <f t="shared" si="9"/>
        <v>48411.775896000006</v>
      </c>
      <c r="H16" s="418">
        <f t="shared" si="9"/>
        <v>50954.475215999999</v>
      </c>
      <c r="I16" s="418">
        <f t="shared" si="9"/>
        <v>53547.370080000008</v>
      </c>
      <c r="J16" s="418"/>
      <c r="K16" s="356" t="s">
        <v>529</v>
      </c>
      <c r="N16" s="269" t="s">
        <v>461</v>
      </c>
      <c r="O16" s="270">
        <f>(I15-D15)/D15</f>
        <v>0.31457913722140723</v>
      </c>
      <c r="P16" s="253"/>
      <c r="Q16" s="253"/>
      <c r="R16" s="253"/>
      <c r="S16" s="253"/>
      <c r="T16" s="253"/>
      <c r="U16" s="253"/>
      <c r="V16" s="253"/>
    </row>
    <row r="17" spans="1:22" s="407" customFormat="1" x14ac:dyDescent="0.2">
      <c r="A17" s="396"/>
      <c r="B17" s="360"/>
      <c r="C17" s="357"/>
      <c r="D17" s="252">
        <f>D16/2080</f>
        <v>19.583399123076923</v>
      </c>
      <c r="E17" s="252">
        <f t="shared" ref="E17:I17" si="10">E16/2080</f>
        <v>20.596751561538461</v>
      </c>
      <c r="F17" s="252">
        <f t="shared" si="10"/>
        <v>21.666397442307691</v>
      </c>
      <c r="G17" s="252">
        <f t="shared" si="10"/>
        <v>23.274892257692311</v>
      </c>
      <c r="H17" s="252">
        <f t="shared" si="10"/>
        <v>24.497343853846154</v>
      </c>
      <c r="I17" s="252">
        <f t="shared" si="10"/>
        <v>25.743927923076928</v>
      </c>
      <c r="J17" s="252"/>
      <c r="K17" s="357" t="s">
        <v>11</v>
      </c>
      <c r="N17" s="259" t="s">
        <v>462</v>
      </c>
      <c r="O17" s="270">
        <f t="shared" ref="O17:T17" si="11">(D19-D15)/D15</f>
        <v>0.14877718450736488</v>
      </c>
      <c r="P17" s="270">
        <f t="shared" si="11"/>
        <v>0.14692393279912228</v>
      </c>
      <c r="Q17" s="270">
        <f t="shared" si="11"/>
        <v>0.14463101483964258</v>
      </c>
      <c r="R17" s="270">
        <f t="shared" si="11"/>
        <v>0.11830109707818416</v>
      </c>
      <c r="S17" s="270">
        <f t="shared" si="11"/>
        <v>0.1156210577191866</v>
      </c>
      <c r="T17" s="270">
        <f t="shared" si="11"/>
        <v>9.7952265146987072E-2</v>
      </c>
      <c r="U17" s="253"/>
      <c r="V17" s="253"/>
    </row>
    <row r="18" spans="1:22" s="407" customFormat="1" ht="18" customHeight="1" x14ac:dyDescent="0.2">
      <c r="A18" s="396"/>
      <c r="B18" s="396"/>
      <c r="C18" s="357"/>
      <c r="D18" s="418"/>
      <c r="E18" s="418"/>
      <c r="F18" s="418"/>
      <c r="G18" s="418"/>
      <c r="H18" s="418"/>
      <c r="I18" s="418"/>
      <c r="J18" s="418"/>
      <c r="K18" s="357"/>
      <c r="N18" s="253"/>
      <c r="O18" s="253"/>
      <c r="P18" s="253"/>
      <c r="Q18" s="253"/>
      <c r="R18" s="253"/>
      <c r="S18" s="253"/>
      <c r="T18" s="253"/>
      <c r="U18" s="253"/>
      <c r="V18" s="253"/>
    </row>
    <row r="19" spans="1:22" s="407" customFormat="1" x14ac:dyDescent="0.2">
      <c r="A19" s="360" t="s">
        <v>430</v>
      </c>
      <c r="B19" s="417" t="s">
        <v>304</v>
      </c>
      <c r="C19" s="356" t="s">
        <v>488</v>
      </c>
      <c r="D19" s="268">
        <f>3830.524*$N$1</f>
        <v>3899.4734319999998</v>
      </c>
      <c r="E19" s="268">
        <f>4022.237*$N$1</f>
        <v>4094.6372660000002</v>
      </c>
      <c r="F19" s="268">
        <f>4222.664*$N$1</f>
        <v>4298.6719519999997</v>
      </c>
      <c r="G19" s="268">
        <f>4431.806*$N$1</f>
        <v>4511.5785079999996</v>
      </c>
      <c r="H19" s="268">
        <f>4653.396*$N$1</f>
        <v>4737.1571279999998</v>
      </c>
      <c r="I19" s="268">
        <f>4812.742*$N$1</f>
        <v>4899.3713560000006</v>
      </c>
      <c r="J19" s="418"/>
      <c r="K19" s="357" t="s">
        <v>10</v>
      </c>
      <c r="N19" s="269" t="s">
        <v>460</v>
      </c>
      <c r="O19" s="270">
        <f>(E19-D19)/D19</f>
        <v>5.0048766174027474E-2</v>
      </c>
      <c r="P19" s="270">
        <f>(F19-E19)/E19</f>
        <v>4.9829734050976987E-2</v>
      </c>
      <c r="Q19" s="270">
        <f>(G19-F19)/F19</f>
        <v>4.9528449339090189E-2</v>
      </c>
      <c r="R19" s="270">
        <f>(H19-G19)/G19</f>
        <v>4.9999932307506295E-2</v>
      </c>
      <c r="S19" s="270">
        <f>(I19-H19)/H19</f>
        <v>3.4242948590663833E-2</v>
      </c>
      <c r="T19" s="253"/>
      <c r="U19" s="253"/>
      <c r="V19" s="253"/>
    </row>
    <row r="20" spans="1:22" s="407" customFormat="1" x14ac:dyDescent="0.2">
      <c r="A20" s="396"/>
      <c r="B20" s="360" t="s">
        <v>306</v>
      </c>
      <c r="C20" s="357" t="s">
        <v>3</v>
      </c>
      <c r="D20" s="418">
        <f t="shared" ref="D20:I20" si="12">D19*12</f>
        <v>46793.681184000001</v>
      </c>
      <c r="E20" s="418">
        <f t="shared" si="12"/>
        <v>49135.647192000004</v>
      </c>
      <c r="F20" s="418">
        <f t="shared" si="12"/>
        <v>51584.063423999993</v>
      </c>
      <c r="G20" s="418">
        <f t="shared" si="12"/>
        <v>54138.942095999999</v>
      </c>
      <c r="H20" s="418">
        <f t="shared" si="12"/>
        <v>56845.885536000002</v>
      </c>
      <c r="I20" s="418">
        <f t="shared" si="12"/>
        <v>58792.45627200001</v>
      </c>
      <c r="J20" s="418"/>
      <c r="K20" s="357" t="s">
        <v>529</v>
      </c>
      <c r="N20" s="269" t="s">
        <v>461</v>
      </c>
      <c r="O20" s="270">
        <f>(I19-D19)/D19</f>
        <v>0.25641870407286338</v>
      </c>
      <c r="P20" s="253"/>
      <c r="Q20" s="253"/>
      <c r="R20" s="253"/>
      <c r="S20" s="253"/>
      <c r="T20" s="253"/>
      <c r="U20" s="253"/>
      <c r="V20" s="253"/>
    </row>
    <row r="21" spans="1:22" s="407" customFormat="1" x14ac:dyDescent="0.2">
      <c r="A21" s="396"/>
      <c r="B21" s="360"/>
      <c r="C21" s="357"/>
      <c r="D21" s="252">
        <f t="shared" ref="D21:I21" si="13">D20/2080</f>
        <v>22.496962107692308</v>
      </c>
      <c r="E21" s="252">
        <f t="shared" si="13"/>
        <v>23.622907303846155</v>
      </c>
      <c r="F21" s="252">
        <f t="shared" si="13"/>
        <v>24.800030492307688</v>
      </c>
      <c r="G21" s="252">
        <f t="shared" si="13"/>
        <v>26.028337546153846</v>
      </c>
      <c r="H21" s="252">
        <f t="shared" si="13"/>
        <v>27.329752661538464</v>
      </c>
      <c r="I21" s="252">
        <f t="shared" si="13"/>
        <v>28.265603976923082</v>
      </c>
      <c r="J21" s="252"/>
      <c r="K21" s="357" t="s">
        <v>11</v>
      </c>
      <c r="N21" s="259" t="s">
        <v>462</v>
      </c>
      <c r="O21" s="270">
        <f t="shared" ref="O21:T21" si="14">(D23-D19)/D19</f>
        <v>9.7498410139187988E-3</v>
      </c>
      <c r="P21" s="270">
        <f t="shared" si="14"/>
        <v>9.5946608814944934E-3</v>
      </c>
      <c r="Q21" s="270">
        <f t="shared" si="14"/>
        <v>9.4340918434430484E-3</v>
      </c>
      <c r="R21" s="270">
        <f t="shared" si="14"/>
        <v>9.5505083029355595E-3</v>
      </c>
      <c r="S21" s="270">
        <f t="shared" si="14"/>
        <v>9.3632693198687587E-3</v>
      </c>
      <c r="T21" s="270">
        <f t="shared" si="14"/>
        <v>9.570635616868689E-3</v>
      </c>
      <c r="U21" s="253"/>
      <c r="V21" s="253"/>
    </row>
    <row r="22" spans="1:22" s="407" customFormat="1" ht="18" customHeight="1" x14ac:dyDescent="0.2">
      <c r="A22" s="396"/>
      <c r="B22" s="396"/>
      <c r="C22" s="357"/>
      <c r="D22" s="418"/>
      <c r="E22" s="418"/>
      <c r="F22" s="418"/>
      <c r="G22" s="418"/>
      <c r="H22" s="418"/>
      <c r="I22" s="418"/>
      <c r="J22" s="418"/>
      <c r="K22" s="357"/>
      <c r="N22" s="253"/>
      <c r="O22" s="253"/>
      <c r="P22" s="253"/>
      <c r="Q22" s="253"/>
      <c r="R22" s="253"/>
      <c r="S22" s="253"/>
      <c r="T22" s="253"/>
      <c r="U22" s="253"/>
      <c r="V22" s="253"/>
    </row>
    <row r="23" spans="1:22" s="407" customFormat="1" x14ac:dyDescent="0.2">
      <c r="A23" s="396" t="s">
        <v>668</v>
      </c>
      <c r="B23" s="360" t="s">
        <v>307</v>
      </c>
      <c r="C23" s="357" t="s">
        <v>4</v>
      </c>
      <c r="D23" s="268">
        <f>3867.871*$N$1</f>
        <v>3937.4926780000001</v>
      </c>
      <c r="E23" s="268">
        <f>4060.829*$N$1</f>
        <v>4133.9239219999999</v>
      </c>
      <c r="F23" s="268">
        <f>4262.501*$N$1</f>
        <v>4339.2260180000003</v>
      </c>
      <c r="G23" s="268">
        <f>4474.132*$N$1</f>
        <v>4554.6663759999992</v>
      </c>
      <c r="H23" s="268">
        <f>4696.967*$N$1</f>
        <v>4781.5124059999998</v>
      </c>
      <c r="I23" s="268">
        <f>4858.803*$N$1</f>
        <v>4946.2614540000004</v>
      </c>
      <c r="J23" s="418"/>
      <c r="K23" s="357" t="s">
        <v>10</v>
      </c>
      <c r="N23" s="269" t="s">
        <v>460</v>
      </c>
      <c r="O23" s="270">
        <f>(E23-D23)/D23</f>
        <v>4.9887392831870526E-2</v>
      </c>
      <c r="P23" s="270">
        <f>(F23-E23)/E23</f>
        <v>4.9662765903218366E-2</v>
      </c>
      <c r="Q23" s="270">
        <f>(G23-F23)/F23</f>
        <v>4.9649489818301258E-2</v>
      </c>
      <c r="R23" s="270">
        <f>(H23-G23)/G23</f>
        <v>4.9805191263914576E-2</v>
      </c>
      <c r="S23" s="270">
        <f>(I23-H23)/H23</f>
        <v>3.445542623569648E-2</v>
      </c>
      <c r="T23" s="253"/>
      <c r="U23" s="253"/>
      <c r="V23" s="253"/>
    </row>
    <row r="24" spans="1:22" s="407" customFormat="1" x14ac:dyDescent="0.2">
      <c r="A24" s="396"/>
      <c r="B24" s="396"/>
      <c r="C24" s="357"/>
      <c r="D24" s="418">
        <f t="shared" ref="D24:I24" si="15">D23*12</f>
        <v>47249.912135999999</v>
      </c>
      <c r="E24" s="418">
        <f t="shared" si="15"/>
        <v>49607.087063999999</v>
      </c>
      <c r="F24" s="418">
        <f t="shared" si="15"/>
        <v>52070.712216</v>
      </c>
      <c r="G24" s="418">
        <f t="shared" si="15"/>
        <v>54655.996511999991</v>
      </c>
      <c r="H24" s="418">
        <f t="shared" si="15"/>
        <v>57378.148871999998</v>
      </c>
      <c r="I24" s="418">
        <f t="shared" si="15"/>
        <v>59355.137448000009</v>
      </c>
      <c r="J24" s="418"/>
      <c r="K24" s="357" t="s">
        <v>529</v>
      </c>
      <c r="N24" s="269" t="s">
        <v>461</v>
      </c>
      <c r="O24" s="270">
        <f>(I23-D23)/D23</f>
        <v>0.25619572110858929</v>
      </c>
      <c r="P24" s="253"/>
      <c r="Q24" s="253"/>
      <c r="R24" s="253"/>
      <c r="S24" s="253"/>
      <c r="T24" s="253"/>
      <c r="U24" s="253"/>
      <c r="V24" s="253"/>
    </row>
    <row r="25" spans="1:22" s="407" customFormat="1" x14ac:dyDescent="0.2">
      <c r="A25" s="396"/>
      <c r="B25" s="396"/>
      <c r="C25" s="357"/>
      <c r="D25" s="418">
        <f t="shared" ref="D25:I25" si="16">D24/2080</f>
        <v>22.716303911538461</v>
      </c>
      <c r="E25" s="418">
        <f t="shared" si="16"/>
        <v>23.849561088461538</v>
      </c>
      <c r="F25" s="418">
        <f t="shared" si="16"/>
        <v>25.033996257692309</v>
      </c>
      <c r="G25" s="418">
        <f t="shared" si="16"/>
        <v>26.276921399999996</v>
      </c>
      <c r="H25" s="418">
        <f t="shared" si="16"/>
        <v>27.585648496153844</v>
      </c>
      <c r="I25" s="418">
        <f t="shared" si="16"/>
        <v>28.536123773076927</v>
      </c>
      <c r="J25" s="418"/>
      <c r="K25" s="357" t="s">
        <v>11</v>
      </c>
      <c r="N25" s="259" t="s">
        <v>462</v>
      </c>
      <c r="O25" s="270">
        <f t="shared" ref="O25:T25" si="17">(D27-D23)/D23</f>
        <v>0.11336901792709822</v>
      </c>
      <c r="P25" s="270">
        <f t="shared" si="17"/>
        <v>0.11298813882719549</v>
      </c>
      <c r="Q25" s="270">
        <f t="shared" si="17"/>
        <v>0.11334584830561367</v>
      </c>
      <c r="R25" s="270">
        <f t="shared" si="17"/>
        <v>0.11402984304991413</v>
      </c>
      <c r="S25" s="270">
        <f t="shared" si="17"/>
        <v>0.11388515008696615</v>
      </c>
      <c r="T25" s="270">
        <f t="shared" si="17"/>
        <v>0.11388761294541946</v>
      </c>
      <c r="U25" s="253"/>
      <c r="V25" s="253"/>
    </row>
    <row r="26" spans="1:22" s="407" customFormat="1" ht="18" customHeight="1" x14ac:dyDescent="0.2">
      <c r="A26" s="396"/>
      <c r="B26" s="396"/>
      <c r="C26" s="357"/>
      <c r="D26" s="418"/>
      <c r="E26" s="418"/>
      <c r="F26" s="418"/>
      <c r="G26" s="418"/>
      <c r="H26" s="418"/>
      <c r="I26" s="418"/>
      <c r="J26" s="418"/>
      <c r="K26" s="357"/>
      <c r="N26" s="253"/>
      <c r="O26" s="253"/>
      <c r="P26" s="253"/>
      <c r="Q26" s="253"/>
      <c r="R26" s="253"/>
      <c r="S26" s="253"/>
      <c r="T26" s="253"/>
      <c r="U26" s="253"/>
      <c r="V26" s="253"/>
    </row>
    <row r="27" spans="1:22" s="407" customFormat="1" x14ac:dyDescent="0.2">
      <c r="A27" s="360" t="s">
        <v>431</v>
      </c>
      <c r="B27" s="360" t="s">
        <v>309</v>
      </c>
      <c r="C27" s="357" t="s">
        <v>5</v>
      </c>
      <c r="D27" s="268">
        <f>4264.477*$N$2</f>
        <v>4383.8823560000001</v>
      </c>
      <c r="E27" s="268">
        <f>4475.689*$N$2</f>
        <v>4601.0082920000004</v>
      </c>
      <c r="F27" s="268">
        <f>4699.474*$N$2</f>
        <v>4831.0592720000004</v>
      </c>
      <c r="G27" s="268">
        <f>4935.831*$N$2</f>
        <v>5074.0342680000003</v>
      </c>
      <c r="H27" s="268">
        <f>5180.988*$N$2</f>
        <v>5326.0556640000004</v>
      </c>
      <c r="I27" s="268">
        <f>5359.513*$N$2</f>
        <v>5509.5793640000002</v>
      </c>
      <c r="J27" s="419"/>
      <c r="K27" s="357" t="s">
        <v>10</v>
      </c>
      <c r="N27" s="269" t="s">
        <v>460</v>
      </c>
      <c r="O27" s="270">
        <f>(E27-D27)/D27</f>
        <v>4.9528230542690309E-2</v>
      </c>
      <c r="P27" s="270">
        <f>(F27-E27)/E27</f>
        <v>5.0000122886107584E-2</v>
      </c>
      <c r="Q27" s="270">
        <f>(G27-F27)/F27</f>
        <v>5.0294352091319133E-2</v>
      </c>
      <c r="R27" s="270">
        <f>(H27-G27)/G27</f>
        <v>4.9668839958256286E-2</v>
      </c>
      <c r="S27" s="270">
        <f>(I27-H27)/H27</f>
        <v>3.4457713470866895E-2</v>
      </c>
      <c r="T27" s="253"/>
      <c r="U27" s="253"/>
      <c r="V27" s="253"/>
    </row>
    <row r="28" spans="1:22" s="407" customFormat="1" x14ac:dyDescent="0.2">
      <c r="A28" s="396"/>
      <c r="B28" s="360" t="s">
        <v>310</v>
      </c>
      <c r="C28" s="357" t="s">
        <v>6</v>
      </c>
      <c r="D28" s="418">
        <f t="shared" ref="D28:I28" si="18">D27*12</f>
        <v>52606.588272000001</v>
      </c>
      <c r="E28" s="418">
        <f t="shared" si="18"/>
        <v>55212.099504000005</v>
      </c>
      <c r="F28" s="418">
        <f t="shared" si="18"/>
        <v>57972.711264000005</v>
      </c>
      <c r="G28" s="418">
        <f t="shared" si="18"/>
        <v>60888.411216000008</v>
      </c>
      <c r="H28" s="418">
        <f t="shared" si="18"/>
        <v>63912.667968000009</v>
      </c>
      <c r="I28" s="418">
        <f t="shared" si="18"/>
        <v>66114.952367999998</v>
      </c>
      <c r="J28" s="419"/>
      <c r="K28" s="357" t="s">
        <v>529</v>
      </c>
      <c r="N28" s="269" t="s">
        <v>461</v>
      </c>
      <c r="O28" s="270">
        <f>(I27-D27)/D27</f>
        <v>0.25678084323118638</v>
      </c>
      <c r="P28" s="253"/>
      <c r="Q28" s="253"/>
      <c r="R28" s="253"/>
      <c r="S28" s="253"/>
      <c r="T28" s="253"/>
      <c r="U28" s="253"/>
      <c r="V28" s="253"/>
    </row>
    <row r="29" spans="1:22" s="407" customFormat="1" x14ac:dyDescent="0.2">
      <c r="A29" s="396"/>
      <c r="B29" s="396"/>
      <c r="C29" s="357"/>
      <c r="D29" s="252">
        <f t="shared" ref="D29:I29" si="19">D28/2080</f>
        <v>25.291628976923079</v>
      </c>
      <c r="E29" s="252">
        <f t="shared" si="19"/>
        <v>26.544278607692309</v>
      </c>
      <c r="F29" s="252">
        <f t="shared" si="19"/>
        <v>27.871495800000002</v>
      </c>
      <c r="G29" s="252">
        <f t="shared" si="19"/>
        <v>29.273274623076926</v>
      </c>
      <c r="H29" s="252">
        <f t="shared" si="19"/>
        <v>30.727244215384619</v>
      </c>
      <c r="I29" s="252">
        <f t="shared" si="19"/>
        <v>31.786034792307692</v>
      </c>
      <c r="J29" s="252"/>
      <c r="K29" s="357" t="s">
        <v>11</v>
      </c>
      <c r="N29" s="259" t="s">
        <v>462</v>
      </c>
      <c r="O29" s="270">
        <f t="shared" ref="O29:T29" si="20">(D31-D27)/D27</f>
        <v>2.2043246636787553E-4</v>
      </c>
      <c r="P29" s="270">
        <f t="shared" si="20"/>
        <v>6.7007095061314358E-4</v>
      </c>
      <c r="Q29" s="270">
        <f t="shared" si="20"/>
        <v>1.0241422680683731E-3</v>
      </c>
      <c r="R29" s="270">
        <f t="shared" si="20"/>
        <v>2.9400826269700793E-4</v>
      </c>
      <c r="S29" s="270">
        <f t="shared" si="20"/>
        <v>5.5012868524917662E-4</v>
      </c>
      <c r="T29" s="270">
        <f t="shared" si="20"/>
        <v>3.4432174847971161E-4</v>
      </c>
      <c r="U29" s="253"/>
      <c r="V29" s="253"/>
    </row>
    <row r="30" spans="1:22" s="407" customFormat="1" ht="18" customHeight="1" x14ac:dyDescent="0.2">
      <c r="A30" s="396"/>
      <c r="B30" s="396"/>
      <c r="C30" s="357"/>
      <c r="D30" s="418"/>
      <c r="E30" s="418"/>
      <c r="F30" s="418"/>
      <c r="G30" s="418"/>
      <c r="H30" s="418"/>
      <c r="I30" s="418"/>
      <c r="J30" s="418"/>
      <c r="K30" s="357"/>
      <c r="N30" s="253"/>
      <c r="O30" s="253"/>
      <c r="P30" s="253"/>
      <c r="Q30" s="253"/>
      <c r="R30" s="253"/>
      <c r="S30" s="253"/>
      <c r="T30" s="253"/>
      <c r="U30" s="253"/>
      <c r="V30" s="253"/>
    </row>
    <row r="31" spans="1:22" s="407" customFormat="1" x14ac:dyDescent="0.2">
      <c r="A31" s="360" t="s">
        <v>434</v>
      </c>
      <c r="B31" s="360" t="s">
        <v>311</v>
      </c>
      <c r="C31" s="356" t="s">
        <v>828</v>
      </c>
      <c r="D31" s="268">
        <f>4307.317*$N$1</f>
        <v>4384.8487059999998</v>
      </c>
      <c r="E31" s="268">
        <f>4522.683*$N$1</f>
        <v>4604.0912939999998</v>
      </c>
      <c r="F31" s="268">
        <f>4750.498*$N$1</f>
        <v>4836.0069639999992</v>
      </c>
      <c r="G31" s="268">
        <f>4985.782*$N$1</f>
        <v>5075.5260760000001</v>
      </c>
      <c r="H31" s="268">
        <f>5234.76*$N$1</f>
        <v>5328.9856800000007</v>
      </c>
      <c r="I31" s="268">
        <f>5414.024*$N$1</f>
        <v>5511.4764320000004</v>
      </c>
      <c r="J31" s="418"/>
      <c r="K31" s="357" t="s">
        <v>10</v>
      </c>
      <c r="N31" s="269" t="s">
        <v>460</v>
      </c>
      <c r="O31" s="270">
        <f>(E31-D31)/D31</f>
        <v>5.0000034824462671E-2</v>
      </c>
      <c r="P31" s="270">
        <f>(F31-E31)/E31</f>
        <v>5.0371648864180718E-2</v>
      </c>
      <c r="Q31" s="270">
        <f>(G31-F31)/F31</f>
        <v>4.9528281034956941E-2</v>
      </c>
      <c r="R31" s="270">
        <f>(H31-G31)/G31</f>
        <v>4.9937602566658662E-2</v>
      </c>
      <c r="S31" s="270">
        <f>(I31-H31)/H31</f>
        <v>3.4244931954855562E-2</v>
      </c>
      <c r="T31" s="253"/>
      <c r="U31" s="253"/>
      <c r="V31" s="253"/>
    </row>
    <row r="32" spans="1:22" s="407" customFormat="1" x14ac:dyDescent="0.2">
      <c r="A32" s="360"/>
      <c r="B32" s="360" t="s">
        <v>308</v>
      </c>
      <c r="C32" s="356" t="s">
        <v>829</v>
      </c>
      <c r="D32" s="418">
        <f t="shared" ref="D32:I32" si="21">D31*12</f>
        <v>52618.184471999994</v>
      </c>
      <c r="E32" s="418">
        <f t="shared" si="21"/>
        <v>55249.095527999998</v>
      </c>
      <c r="F32" s="418">
        <f t="shared" si="21"/>
        <v>58032.083567999987</v>
      </c>
      <c r="G32" s="418">
        <f t="shared" si="21"/>
        <v>60906.312912000001</v>
      </c>
      <c r="H32" s="418">
        <f t="shared" si="21"/>
        <v>63947.828160000005</v>
      </c>
      <c r="I32" s="418">
        <f t="shared" si="21"/>
        <v>66137.717184000008</v>
      </c>
      <c r="J32" s="418"/>
      <c r="K32" s="357" t="s">
        <v>529</v>
      </c>
      <c r="N32" s="269" t="s">
        <v>461</v>
      </c>
      <c r="O32" s="270">
        <f>(I31-D31)/D31</f>
        <v>0.2569365105934856</v>
      </c>
      <c r="P32" s="253"/>
      <c r="Q32" s="253"/>
      <c r="R32" s="253"/>
      <c r="S32" s="253"/>
      <c r="T32" s="253"/>
      <c r="U32" s="253"/>
      <c r="V32" s="253"/>
    </row>
    <row r="33" spans="1:22" s="407" customFormat="1" x14ac:dyDescent="0.2">
      <c r="A33" s="396"/>
      <c r="B33" s="360"/>
      <c r="C33" s="357"/>
      <c r="D33" s="252">
        <f t="shared" ref="D33:I33" si="22">D32/2080</f>
        <v>25.297204073076919</v>
      </c>
      <c r="E33" s="252">
        <f t="shared" si="22"/>
        <v>26.562065157692306</v>
      </c>
      <c r="F33" s="252">
        <f t="shared" si="22"/>
        <v>27.900040176923071</v>
      </c>
      <c r="G33" s="252">
        <f t="shared" si="22"/>
        <v>29.281881207692308</v>
      </c>
      <c r="H33" s="252">
        <f t="shared" si="22"/>
        <v>30.744148153846155</v>
      </c>
      <c r="I33" s="252">
        <f t="shared" si="22"/>
        <v>31.796979415384619</v>
      </c>
      <c r="J33" s="252"/>
      <c r="K33" s="357" t="s">
        <v>11</v>
      </c>
      <c r="N33" s="259" t="s">
        <v>462</v>
      </c>
      <c r="O33" s="270">
        <f t="shared" ref="O33:T33" si="23">(D35-D31)/D31</f>
        <v>8.9595448860624996E-2</v>
      </c>
      <c r="P33" s="270">
        <f t="shared" si="23"/>
        <v>8.9733019095081315E-2</v>
      </c>
      <c r="Q33" s="270">
        <f t="shared" si="23"/>
        <v>8.9098448204799063E-2</v>
      </c>
      <c r="R33" s="270">
        <f t="shared" si="23"/>
        <v>8.9388184240706936E-2</v>
      </c>
      <c r="S33" s="270">
        <f t="shared" si="23"/>
        <v>8.9655113128395303E-2</v>
      </c>
      <c r="T33" s="270">
        <f t="shared" si="23"/>
        <v>9.0135544282773761E-2</v>
      </c>
      <c r="U33" s="253"/>
      <c r="V33" s="253"/>
    </row>
    <row r="34" spans="1:22" s="407" customFormat="1" ht="18" customHeight="1" x14ac:dyDescent="0.2">
      <c r="A34" s="396"/>
      <c r="B34" s="396"/>
      <c r="C34" s="357"/>
      <c r="D34" s="418"/>
      <c r="E34" s="418"/>
      <c r="F34" s="418"/>
      <c r="G34" s="418"/>
      <c r="H34" s="418"/>
      <c r="I34" s="418"/>
      <c r="J34" s="418"/>
      <c r="K34" s="357"/>
      <c r="N34" s="253"/>
      <c r="O34" s="253"/>
      <c r="P34" s="253"/>
      <c r="Q34" s="253"/>
      <c r="R34" s="253"/>
      <c r="S34" s="253"/>
      <c r="T34" s="253"/>
      <c r="U34" s="253"/>
      <c r="V34" s="253"/>
    </row>
    <row r="35" spans="1:22" s="407" customFormat="1" x14ac:dyDescent="0.2">
      <c r="A35" s="360" t="s">
        <v>432</v>
      </c>
      <c r="B35" s="360" t="s">
        <v>313</v>
      </c>
      <c r="C35" s="357" t="s">
        <v>7</v>
      </c>
      <c r="D35" s="268">
        <f>4693.233*$N$1</f>
        <v>4777.7111940000004</v>
      </c>
      <c r="E35" s="268">
        <f>4928.517*$N$1</f>
        <v>5017.2303059999995</v>
      </c>
      <c r="F35" s="268">
        <f>5173.76*$N$1</f>
        <v>5266.8876800000007</v>
      </c>
      <c r="G35" s="268">
        <f>5431.452*$N$1</f>
        <v>5529.2181360000004</v>
      </c>
      <c r="H35" s="268">
        <f>5704.083*$N$1</f>
        <v>5806.7564939999993</v>
      </c>
      <c r="I35" s="268">
        <f>5902.02*$N$1</f>
        <v>6008.2563600000003</v>
      </c>
      <c r="J35" s="418"/>
      <c r="K35" s="357" t="s">
        <v>10</v>
      </c>
      <c r="N35" s="269" t="s">
        <v>460</v>
      </c>
      <c r="O35" s="270">
        <f>(E35-D35)/D35</f>
        <v>5.0132605817780417E-2</v>
      </c>
      <c r="P35" s="270">
        <f>(F35-E35)/E35</f>
        <v>4.9759998798827573E-2</v>
      </c>
      <c r="Q35" s="270">
        <f>(G35-F35)/F35</f>
        <v>4.9807490103908891E-2</v>
      </c>
      <c r="R35" s="270">
        <f>(H35-G35)/G35</f>
        <v>5.0194865019519433E-2</v>
      </c>
      <c r="S35" s="270">
        <f>(I35-H35)/H35</f>
        <v>3.4700932647719368E-2</v>
      </c>
      <c r="T35" s="253"/>
      <c r="U35" s="253"/>
      <c r="V35" s="253"/>
    </row>
    <row r="36" spans="1:22" s="407" customFormat="1" x14ac:dyDescent="0.2">
      <c r="A36" s="396"/>
      <c r="B36" s="420" t="s">
        <v>314</v>
      </c>
      <c r="C36" s="356" t="s">
        <v>830</v>
      </c>
      <c r="D36" s="418">
        <f t="shared" ref="D36:I36" si="24">D35*12</f>
        <v>57332.534328000009</v>
      </c>
      <c r="E36" s="418">
        <f t="shared" si="24"/>
        <v>60206.763671999994</v>
      </c>
      <c r="F36" s="418">
        <f t="shared" si="24"/>
        <v>63202.652160000012</v>
      </c>
      <c r="G36" s="418">
        <f t="shared" si="24"/>
        <v>66350.617632000009</v>
      </c>
      <c r="H36" s="418">
        <f t="shared" si="24"/>
        <v>69681.077927999984</v>
      </c>
      <c r="I36" s="418">
        <f t="shared" si="24"/>
        <v>72099.076320000007</v>
      </c>
      <c r="J36" s="418"/>
      <c r="K36" s="357" t="s">
        <v>529</v>
      </c>
      <c r="N36" s="269" t="s">
        <v>461</v>
      </c>
      <c r="O36" s="270">
        <f>(I35-D35)/D35</f>
        <v>0.25755955436263228</v>
      </c>
      <c r="P36" s="253"/>
      <c r="Q36" s="253"/>
      <c r="R36" s="253"/>
      <c r="S36" s="253"/>
      <c r="T36" s="253"/>
      <c r="U36" s="253"/>
      <c r="V36" s="253"/>
    </row>
    <row r="37" spans="1:22" s="407" customFormat="1" x14ac:dyDescent="0.2">
      <c r="A37" s="396"/>
      <c r="B37" s="360" t="s">
        <v>316</v>
      </c>
      <c r="C37" s="356" t="s">
        <v>489</v>
      </c>
      <c r="D37" s="252">
        <f t="shared" ref="D37:I37" si="25">D36/2080</f>
        <v>27.563718426923081</v>
      </c>
      <c r="E37" s="252">
        <f t="shared" si="25"/>
        <v>28.945559457692305</v>
      </c>
      <c r="F37" s="252">
        <f t="shared" si="25"/>
        <v>30.385890461538466</v>
      </c>
      <c r="G37" s="252">
        <f t="shared" si="25"/>
        <v>31.899335400000005</v>
      </c>
      <c r="H37" s="252">
        <f t="shared" si="25"/>
        <v>33.500518234615377</v>
      </c>
      <c r="I37" s="252">
        <f t="shared" si="25"/>
        <v>34.663017461538466</v>
      </c>
      <c r="J37" s="252"/>
      <c r="K37" s="357" t="s">
        <v>11</v>
      </c>
      <c r="N37" s="259" t="s">
        <v>462</v>
      </c>
      <c r="O37" s="270">
        <f t="shared" ref="O37:T37" si="26">(D39-D35)/D35</f>
        <v>1.3262499432693732E-2</v>
      </c>
      <c r="P37" s="270">
        <f t="shared" si="26"/>
        <v>1.262935686333258E-2</v>
      </c>
      <c r="Q37" s="270">
        <f t="shared" si="26"/>
        <v>1.3233895658089974E-2</v>
      </c>
      <c r="R37" s="270">
        <f t="shared" si="26"/>
        <v>1.3064462320572739E-2</v>
      </c>
      <c r="S37" s="270">
        <f t="shared" si="26"/>
        <v>1.2876390473280486E-2</v>
      </c>
      <c r="T37" s="270">
        <f t="shared" si="26"/>
        <v>1.2655667042809017E-2</v>
      </c>
      <c r="U37" s="253"/>
      <c r="V37" s="253"/>
    </row>
    <row r="38" spans="1:22" s="407" customFormat="1" ht="18" customHeight="1" x14ac:dyDescent="0.2">
      <c r="A38" s="396"/>
      <c r="B38" s="396"/>
      <c r="C38" s="357"/>
      <c r="D38" s="418"/>
      <c r="E38" s="418"/>
      <c r="F38" s="418"/>
      <c r="G38" s="418"/>
      <c r="H38" s="418"/>
      <c r="I38" s="418"/>
      <c r="J38" s="418"/>
      <c r="K38" s="357"/>
      <c r="N38" s="253"/>
      <c r="O38" s="253"/>
      <c r="P38" s="253"/>
      <c r="Q38" s="253"/>
      <c r="R38" s="253"/>
      <c r="S38" s="253"/>
      <c r="T38" s="253"/>
      <c r="U38" s="253"/>
      <c r="V38" s="253"/>
    </row>
    <row r="39" spans="1:22" s="407" customFormat="1" x14ac:dyDescent="0.2">
      <c r="A39" s="396" t="s">
        <v>435</v>
      </c>
      <c r="B39" s="421" t="s">
        <v>312</v>
      </c>
      <c r="C39" s="356" t="s">
        <v>831</v>
      </c>
      <c r="D39" s="268">
        <f>4755.477*$N$1</f>
        <v>4841.0755859999999</v>
      </c>
      <c r="E39" s="268">
        <f>4990.761*$N$1</f>
        <v>5080.5946980000008</v>
      </c>
      <c r="F39" s="268">
        <f>5242.229*$N$1</f>
        <v>5336.5891220000003</v>
      </c>
      <c r="G39" s="268">
        <f>5502.411*$N$1</f>
        <v>5601.4543979999999</v>
      </c>
      <c r="H39" s="268">
        <f>5777.531*$N$1</f>
        <v>5881.5265580000005</v>
      </c>
      <c r="I39" s="268">
        <f>5976.714*$N$1</f>
        <v>6084.294852</v>
      </c>
      <c r="J39" s="418"/>
      <c r="K39" s="357" t="s">
        <v>10</v>
      </c>
      <c r="N39" s="269" t="s">
        <v>460</v>
      </c>
      <c r="O39" s="270">
        <f t="shared" ref="O39:T39" si="27">(E39-D39)/D39</f>
        <v>4.9476424762437257E-2</v>
      </c>
      <c r="P39" s="270">
        <f t="shared" si="27"/>
        <v>5.0386704552672329E-2</v>
      </c>
      <c r="Q39" s="270">
        <f t="shared" si="27"/>
        <v>4.9631940916735902E-2</v>
      </c>
      <c r="R39" s="270">
        <f t="shared" si="27"/>
        <v>4.9999900043817269E-2</v>
      </c>
      <c r="S39" s="270">
        <f t="shared" si="27"/>
        <v>3.4475453268878957E-2</v>
      </c>
      <c r="T39" s="270">
        <f t="shared" si="27"/>
        <v>-1</v>
      </c>
      <c r="U39" s="253"/>
      <c r="V39" s="253"/>
    </row>
    <row r="40" spans="1:22" s="407" customFormat="1" x14ac:dyDescent="0.2">
      <c r="A40" s="396"/>
      <c r="B40" s="360"/>
      <c r="C40" s="357"/>
      <c r="D40" s="418">
        <f t="shared" ref="D40:I40" si="28">D39*12</f>
        <v>58092.907032000003</v>
      </c>
      <c r="E40" s="418">
        <f t="shared" si="28"/>
        <v>60967.136376000009</v>
      </c>
      <c r="F40" s="418">
        <f t="shared" si="28"/>
        <v>64039.069464</v>
      </c>
      <c r="G40" s="418">
        <f t="shared" si="28"/>
        <v>67217.452775999991</v>
      </c>
      <c r="H40" s="418">
        <f t="shared" si="28"/>
        <v>70578.318696000002</v>
      </c>
      <c r="I40" s="418">
        <f t="shared" si="28"/>
        <v>73011.538224000004</v>
      </c>
      <c r="J40" s="418"/>
      <c r="K40" s="357" t="s">
        <v>529</v>
      </c>
      <c r="N40" s="269" t="s">
        <v>461</v>
      </c>
      <c r="O40" s="270">
        <f>(I39-D39)/D39</f>
        <v>0.25680641500316376</v>
      </c>
      <c r="P40" s="253"/>
      <c r="Q40" s="253"/>
      <c r="R40" s="253"/>
      <c r="S40" s="253"/>
      <c r="T40" s="253"/>
      <c r="U40" s="253"/>
      <c r="V40" s="253"/>
    </row>
    <row r="41" spans="1:22" s="407" customFormat="1" x14ac:dyDescent="0.2">
      <c r="A41" s="396"/>
      <c r="B41" s="396"/>
      <c r="C41" s="357"/>
      <c r="D41" s="252">
        <f t="shared" ref="D41:I41" si="29">D40/2080</f>
        <v>27.929282226923078</v>
      </c>
      <c r="E41" s="252">
        <f t="shared" si="29"/>
        <v>29.311123257692312</v>
      </c>
      <c r="F41" s="252">
        <f t="shared" si="29"/>
        <v>30.788014165384617</v>
      </c>
      <c r="G41" s="252">
        <f t="shared" si="29"/>
        <v>32.316083065384611</v>
      </c>
      <c r="H41" s="252">
        <f t="shared" si="29"/>
        <v>33.931883988461543</v>
      </c>
      <c r="I41" s="252">
        <f t="shared" si="29"/>
        <v>35.101701069230771</v>
      </c>
      <c r="J41" s="252"/>
      <c r="K41" s="357" t="s">
        <v>11</v>
      </c>
      <c r="N41" s="259" t="s">
        <v>462</v>
      </c>
      <c r="O41" s="270">
        <f t="shared" ref="O41:T41" si="30">(D43-D39)/D39</f>
        <v>1.9895375374541915E-2</v>
      </c>
      <c r="P41" s="270">
        <f t="shared" si="30"/>
        <v>1.696194227693916E-2</v>
      </c>
      <c r="Q41" s="270">
        <f t="shared" si="30"/>
        <v>1.6385587123340019E-2</v>
      </c>
      <c r="R41" s="270">
        <f t="shared" si="30"/>
        <v>1.7194462572861339E-2</v>
      </c>
      <c r="S41" s="270">
        <f t="shared" si="30"/>
        <v>1.7237813176597283E-2</v>
      </c>
      <c r="T41" s="270">
        <f t="shared" si="30"/>
        <v>1.7079786651996415E-2</v>
      </c>
      <c r="U41" s="253"/>
      <c r="V41" s="253"/>
    </row>
    <row r="42" spans="1:22" s="407" customFormat="1" ht="18" customHeight="1" x14ac:dyDescent="0.2">
      <c r="A42" s="396"/>
      <c r="B42" s="396"/>
      <c r="C42" s="357"/>
      <c r="D42" s="418"/>
      <c r="E42" s="418"/>
      <c r="F42" s="418"/>
      <c r="G42" s="418"/>
      <c r="H42" s="418"/>
      <c r="I42" s="418"/>
      <c r="J42" s="418"/>
      <c r="K42" s="357"/>
      <c r="N42" s="253"/>
      <c r="O42" s="253"/>
      <c r="P42" s="253"/>
      <c r="Q42" s="253"/>
      <c r="R42" s="253"/>
      <c r="S42" s="253"/>
      <c r="T42" s="253"/>
      <c r="U42" s="253"/>
      <c r="V42" s="253"/>
    </row>
    <row r="43" spans="1:22" s="407" customFormat="1" x14ac:dyDescent="0.2">
      <c r="A43" s="396" t="s">
        <v>669</v>
      </c>
      <c r="B43" s="396" t="s">
        <v>670</v>
      </c>
      <c r="C43" s="357" t="s">
        <v>671</v>
      </c>
      <c r="D43" s="268">
        <f>4850.089*$N$1</f>
        <v>4937.3906020000004</v>
      </c>
      <c r="E43" s="268">
        <f>5075.414*$N$1</f>
        <v>5166.771452</v>
      </c>
      <c r="F43" s="268">
        <f>5328.126*$N$1</f>
        <v>5424.0322679999999</v>
      </c>
      <c r="G43" s="268">
        <f>5597.022*$N$1</f>
        <v>5697.7683960000004</v>
      </c>
      <c r="H43" s="268">
        <f>5877.123*$N$1</f>
        <v>5982.9112139999997</v>
      </c>
      <c r="I43" s="268">
        <f>6078.795*$N$1</f>
        <v>6188.2133100000001</v>
      </c>
      <c r="J43" s="418"/>
      <c r="K43" s="357" t="s">
        <v>10</v>
      </c>
      <c r="N43" s="269" t="s">
        <v>460</v>
      </c>
      <c r="O43" s="270">
        <f>(E43-D43)/D43</f>
        <v>4.6457910359995365E-2</v>
      </c>
      <c r="P43" s="270">
        <f>(F43-E43)/E43</f>
        <v>4.9791406178885105E-2</v>
      </c>
      <c r="Q43" s="270">
        <f>(G43-F43)/F43</f>
        <v>5.0467274985614166E-2</v>
      </c>
      <c r="R43" s="270">
        <f>(H43-G43)/G43</f>
        <v>5.0044648743563874E-2</v>
      </c>
      <c r="S43" s="270">
        <f>(I43-H43)/H43</f>
        <v>3.4314748900099647E-2</v>
      </c>
      <c r="T43" s="253"/>
      <c r="U43" s="253"/>
      <c r="V43" s="253"/>
    </row>
    <row r="44" spans="1:22" s="407" customFormat="1" x14ac:dyDescent="0.2">
      <c r="A44" s="396"/>
      <c r="B44" s="360"/>
      <c r="C44" s="357"/>
      <c r="D44" s="418">
        <f t="shared" ref="D44:I44" si="31">D43*12</f>
        <v>59248.687224000008</v>
      </c>
      <c r="E44" s="418">
        <f t="shared" si="31"/>
        <v>62001.257423999996</v>
      </c>
      <c r="F44" s="418">
        <f t="shared" si="31"/>
        <v>65088.387216000003</v>
      </c>
      <c r="G44" s="418">
        <f t="shared" si="31"/>
        <v>68373.220752000008</v>
      </c>
      <c r="H44" s="418">
        <f t="shared" si="31"/>
        <v>71794.934567999997</v>
      </c>
      <c r="I44" s="418">
        <f t="shared" si="31"/>
        <v>74258.559720000005</v>
      </c>
      <c r="J44" s="418"/>
      <c r="K44" s="357" t="s">
        <v>529</v>
      </c>
      <c r="N44" s="269" t="s">
        <v>461</v>
      </c>
      <c r="O44" s="270">
        <f>(I43-D43)/D43</f>
        <v>0.25333679443820506</v>
      </c>
      <c r="P44" s="253"/>
      <c r="Q44" s="253"/>
      <c r="R44" s="253"/>
      <c r="S44" s="253"/>
      <c r="T44" s="253"/>
      <c r="U44" s="253"/>
      <c r="V44" s="253"/>
    </row>
    <row r="45" spans="1:22" s="407" customFormat="1" x14ac:dyDescent="0.2">
      <c r="A45" s="396"/>
      <c r="B45" s="396"/>
      <c r="C45" s="357"/>
      <c r="D45" s="252">
        <f t="shared" ref="D45:I45" si="32">D44/2080</f>
        <v>28.484945780769234</v>
      </c>
      <c r="E45" s="252">
        <f t="shared" si="32"/>
        <v>29.808296838461537</v>
      </c>
      <c r="F45" s="252">
        <f t="shared" si="32"/>
        <v>31.292493853846157</v>
      </c>
      <c r="G45" s="252">
        <f t="shared" si="32"/>
        <v>32.871740746153847</v>
      </c>
      <c r="H45" s="252">
        <f t="shared" si="32"/>
        <v>34.516795465384611</v>
      </c>
      <c r="I45" s="252">
        <f t="shared" si="32"/>
        <v>35.701230634615385</v>
      </c>
      <c r="J45" s="252"/>
      <c r="K45" s="357" t="s">
        <v>11</v>
      </c>
      <c r="N45" s="259"/>
      <c r="O45" s="270"/>
      <c r="P45" s="270"/>
      <c r="Q45" s="270"/>
      <c r="R45" s="270"/>
      <c r="S45" s="270"/>
      <c r="T45" s="253"/>
      <c r="U45" s="253"/>
      <c r="V45" s="253"/>
    </row>
    <row r="46" spans="1:22" s="407" customFormat="1" ht="18" customHeight="1" x14ac:dyDescent="0.2">
      <c r="A46" s="396"/>
      <c r="B46" s="396"/>
      <c r="C46" s="357"/>
      <c r="D46" s="418"/>
      <c r="E46" s="418"/>
      <c r="F46" s="418"/>
      <c r="G46" s="418"/>
      <c r="H46" s="418"/>
      <c r="I46" s="418"/>
      <c r="J46" s="418"/>
      <c r="K46" s="357"/>
    </row>
    <row r="47" spans="1:22" s="407" customFormat="1" x14ac:dyDescent="0.2">
      <c r="A47" s="396" t="s">
        <v>436</v>
      </c>
      <c r="B47" s="396" t="s">
        <v>315</v>
      </c>
      <c r="C47" s="357" t="s">
        <v>8</v>
      </c>
      <c r="D47" s="268">
        <f>5148.862*$N$1</f>
        <v>5241.5415160000002</v>
      </c>
      <c r="E47" s="268">
        <f>5402.82*$N$1</f>
        <v>5500.0707599999996</v>
      </c>
      <c r="F47" s="268">
        <f>5675.45*$N$1</f>
        <v>5777.6080999999995</v>
      </c>
      <c r="G47" s="268">
        <f>5959.285*$N$1</f>
        <v>6066.55213</v>
      </c>
      <c r="H47" s="268">
        <f>6254.324*$N$1</f>
        <v>6366.9018319999996</v>
      </c>
      <c r="I47" s="268">
        <f>6282.956*$N$1</f>
        <v>6396.0492080000004</v>
      </c>
      <c r="J47" s="268">
        <f>6483.384*$N$1</f>
        <v>6600.0849120000003</v>
      </c>
      <c r="K47" s="357" t="s">
        <v>10</v>
      </c>
      <c r="N47" s="408"/>
      <c r="O47" s="5"/>
      <c r="P47" s="5"/>
      <c r="Q47" s="5"/>
      <c r="R47" s="5"/>
      <c r="S47" s="5"/>
    </row>
    <row r="48" spans="1:22" s="407" customFormat="1" x14ac:dyDescent="0.2">
      <c r="A48" s="396"/>
      <c r="B48" s="360"/>
      <c r="C48" s="357"/>
      <c r="D48" s="418">
        <f>D47*12</f>
        <v>62898.498191999999</v>
      </c>
      <c r="E48" s="418">
        <f t="shared" ref="E48:J48" si="33">E47*12</f>
        <v>66000.849119999999</v>
      </c>
      <c r="F48" s="418">
        <f t="shared" si="33"/>
        <v>69331.297200000001</v>
      </c>
      <c r="G48" s="418">
        <f t="shared" si="33"/>
        <v>72798.62556</v>
      </c>
      <c r="H48" s="418">
        <f t="shared" si="33"/>
        <v>76402.821983999995</v>
      </c>
      <c r="I48" s="418">
        <f t="shared" si="33"/>
        <v>76752.590496000004</v>
      </c>
      <c r="J48" s="418">
        <f t="shared" si="33"/>
        <v>79201.01894400001</v>
      </c>
      <c r="K48" s="357" t="s">
        <v>529</v>
      </c>
      <c r="N48" s="408"/>
      <c r="O48" s="5"/>
    </row>
    <row r="49" spans="1:20" s="407" customFormat="1" x14ac:dyDescent="0.2">
      <c r="A49" s="396"/>
      <c r="B49" s="396"/>
      <c r="C49" s="357"/>
      <c r="D49" s="252">
        <f>D48/2080</f>
        <v>30.239662592307692</v>
      </c>
      <c r="E49" s="252">
        <f t="shared" ref="E49:J49" si="34">E48/2080</f>
        <v>31.731177461538461</v>
      </c>
      <c r="F49" s="252">
        <f t="shared" si="34"/>
        <v>33.332354423076922</v>
      </c>
      <c r="G49" s="252">
        <f t="shared" si="34"/>
        <v>34.999339211538462</v>
      </c>
      <c r="H49" s="252">
        <f t="shared" si="34"/>
        <v>36.73212595384615</v>
      </c>
      <c r="I49" s="252">
        <f t="shared" si="34"/>
        <v>36.900283892307698</v>
      </c>
      <c r="J49" s="252">
        <f t="shared" si="34"/>
        <v>38.077412953846157</v>
      </c>
      <c r="K49" s="357" t="s">
        <v>11</v>
      </c>
      <c r="N49" s="411"/>
      <c r="O49" s="5"/>
      <c r="P49" s="5"/>
      <c r="Q49" s="5"/>
      <c r="R49" s="5"/>
      <c r="S49" s="5"/>
      <c r="T49" s="5"/>
    </row>
    <row r="50" spans="1:20" s="407" customFormat="1" ht="18" customHeight="1" x14ac:dyDescent="0.2">
      <c r="A50" s="396"/>
      <c r="B50" s="396"/>
      <c r="C50" s="357"/>
      <c r="D50" s="418"/>
      <c r="E50" s="418"/>
      <c r="F50" s="418"/>
      <c r="G50" s="418"/>
      <c r="H50" s="418"/>
      <c r="I50" s="418"/>
      <c r="J50" s="418"/>
      <c r="K50" s="357"/>
    </row>
    <row r="51" spans="1:20" s="407" customFormat="1" x14ac:dyDescent="0.2">
      <c r="A51" s="396" t="s">
        <v>433</v>
      </c>
      <c r="B51" s="360" t="s">
        <v>318</v>
      </c>
      <c r="C51" s="357" t="s">
        <v>9</v>
      </c>
      <c r="D51" s="268">
        <f>5179.984*$N$1</f>
        <v>5273.2237120000009</v>
      </c>
      <c r="E51" s="268">
        <f>5441.411*$N$1</f>
        <v>5539.3563979999999</v>
      </c>
      <c r="F51" s="268">
        <f>5712.797*$N$1</f>
        <v>5815.6273459999993</v>
      </c>
      <c r="G51" s="268">
        <f>5987.918*$N$1</f>
        <v>6095.7005239999999</v>
      </c>
      <c r="H51" s="268">
        <f>6292.916*$N$1</f>
        <v>6406.1884880000007</v>
      </c>
      <c r="I51" s="268">
        <f>6505.792*$N$1</f>
        <v>6622.8962560000009</v>
      </c>
      <c r="J51" s="418"/>
      <c r="K51" s="357" t="s">
        <v>10</v>
      </c>
      <c r="N51" s="408"/>
      <c r="O51" s="5"/>
      <c r="P51" s="5"/>
      <c r="Q51" s="5"/>
      <c r="R51" s="5"/>
      <c r="S51" s="5"/>
      <c r="T51" s="5"/>
    </row>
    <row r="52" spans="1:20" s="407" customFormat="1" x14ac:dyDescent="0.2">
      <c r="A52" s="396"/>
      <c r="B52" s="360" t="s">
        <v>317</v>
      </c>
      <c r="C52" s="356" t="s">
        <v>490</v>
      </c>
      <c r="D52" s="418">
        <f t="shared" ref="D52:I52" si="35">D51*12</f>
        <v>63278.684544000011</v>
      </c>
      <c r="E52" s="418">
        <f t="shared" si="35"/>
        <v>66472.276775999999</v>
      </c>
      <c r="F52" s="418">
        <f t="shared" si="35"/>
        <v>69787.528151999984</v>
      </c>
      <c r="G52" s="418">
        <f t="shared" si="35"/>
        <v>73148.406287999998</v>
      </c>
      <c r="H52" s="418">
        <f t="shared" si="35"/>
        <v>76874.261856000012</v>
      </c>
      <c r="I52" s="418">
        <f t="shared" si="35"/>
        <v>79474.755072000014</v>
      </c>
      <c r="J52" s="418"/>
      <c r="K52" s="357" t="s">
        <v>529</v>
      </c>
      <c r="N52" s="408"/>
      <c r="O52" s="5"/>
    </row>
    <row r="53" spans="1:20" s="407" customFormat="1" x14ac:dyDescent="0.2">
      <c r="A53" s="396"/>
      <c r="B53" s="396"/>
      <c r="C53" s="357"/>
      <c r="D53" s="252">
        <f t="shared" ref="D53:I53" si="36">D52/2080</f>
        <v>30.422444492307697</v>
      </c>
      <c r="E53" s="252">
        <f t="shared" si="36"/>
        <v>31.957825373076922</v>
      </c>
      <c r="F53" s="252">
        <f t="shared" si="36"/>
        <v>33.55169622692307</v>
      </c>
      <c r="G53" s="252">
        <f t="shared" si="36"/>
        <v>35.167503023076925</v>
      </c>
      <c r="H53" s="252">
        <f t="shared" si="36"/>
        <v>36.958779738461544</v>
      </c>
      <c r="I53" s="252">
        <f t="shared" si="36"/>
        <v>38.209016861538466</v>
      </c>
      <c r="J53" s="252"/>
      <c r="K53" s="357" t="s">
        <v>11</v>
      </c>
      <c r="N53" s="411"/>
      <c r="O53" s="5"/>
      <c r="P53" s="5"/>
      <c r="Q53" s="5"/>
      <c r="R53" s="5"/>
      <c r="S53" s="5"/>
      <c r="T53" s="5"/>
    </row>
    <row r="54" spans="1:20" s="407" customFormat="1" ht="18" customHeight="1" x14ac:dyDescent="0.2">
      <c r="A54" s="396"/>
      <c r="B54" s="396"/>
      <c r="C54" s="357"/>
      <c r="D54" s="418"/>
      <c r="E54" s="418"/>
      <c r="F54" s="418"/>
      <c r="G54" s="418"/>
      <c r="H54" s="418"/>
      <c r="I54" s="418"/>
      <c r="J54" s="418"/>
      <c r="K54" s="357"/>
    </row>
    <row r="55" spans="1:20" s="407" customFormat="1" x14ac:dyDescent="0.2">
      <c r="A55" s="396" t="s">
        <v>672</v>
      </c>
      <c r="B55" s="396" t="s">
        <v>673</v>
      </c>
      <c r="C55" s="357" t="s">
        <v>674</v>
      </c>
      <c r="D55" s="268">
        <f>5441.411*$N$1</f>
        <v>5539.3563979999999</v>
      </c>
      <c r="E55" s="268">
        <f>5712.797*$N$1</f>
        <v>5815.6273459999993</v>
      </c>
      <c r="F55" s="268">
        <f>5987.918*$N$1</f>
        <v>6095.7005239999999</v>
      </c>
      <c r="G55" s="268">
        <f>6292.916*$N$1</f>
        <v>6406.1884880000007</v>
      </c>
      <c r="H55" s="268">
        <f>6505.792*$N$1</f>
        <v>6622.8962560000009</v>
      </c>
      <c r="I55" s="268">
        <f>6714.933*$N$1</f>
        <v>6835.801794</v>
      </c>
      <c r="J55" s="418"/>
      <c r="K55" s="357" t="s">
        <v>10</v>
      </c>
      <c r="N55" s="408"/>
      <c r="O55" s="5"/>
      <c r="P55" s="5"/>
      <c r="Q55" s="5"/>
      <c r="R55" s="5"/>
      <c r="S55" s="5"/>
    </row>
    <row r="56" spans="1:20" s="407" customFormat="1" x14ac:dyDescent="0.2">
      <c r="A56" s="396"/>
      <c r="B56" s="396"/>
      <c r="C56" s="357"/>
      <c r="D56" s="418">
        <f t="shared" ref="D56:I56" si="37">D55*12</f>
        <v>66472.276775999999</v>
      </c>
      <c r="E56" s="418">
        <f t="shared" si="37"/>
        <v>69787.528151999984</v>
      </c>
      <c r="F56" s="418">
        <f t="shared" si="37"/>
        <v>73148.406287999998</v>
      </c>
      <c r="G56" s="418">
        <f t="shared" si="37"/>
        <v>76874.261856000012</v>
      </c>
      <c r="H56" s="418">
        <f t="shared" si="37"/>
        <v>79474.755072000014</v>
      </c>
      <c r="I56" s="418">
        <f t="shared" si="37"/>
        <v>82029.621528000003</v>
      </c>
      <c r="J56" s="418"/>
      <c r="K56" s="357" t="s">
        <v>529</v>
      </c>
      <c r="N56" s="408"/>
      <c r="O56" s="5"/>
    </row>
    <row r="57" spans="1:20" s="407" customFormat="1" x14ac:dyDescent="0.2">
      <c r="A57" s="396"/>
      <c r="B57" s="396"/>
      <c r="C57" s="357"/>
      <c r="D57" s="252">
        <f t="shared" ref="D57:I57" si="38">D56/2080</f>
        <v>31.957825373076922</v>
      </c>
      <c r="E57" s="252">
        <f t="shared" si="38"/>
        <v>33.55169622692307</v>
      </c>
      <c r="F57" s="252">
        <f t="shared" si="38"/>
        <v>35.167503023076925</v>
      </c>
      <c r="G57" s="252">
        <f t="shared" si="38"/>
        <v>36.958779738461544</v>
      </c>
      <c r="H57" s="252">
        <f t="shared" si="38"/>
        <v>38.209016861538466</v>
      </c>
      <c r="I57" s="252">
        <f t="shared" si="38"/>
        <v>39.437318042307695</v>
      </c>
      <c r="J57" s="252"/>
      <c r="K57" s="357" t="s">
        <v>11</v>
      </c>
      <c r="N57" s="411"/>
      <c r="O57" s="5"/>
      <c r="P57" s="5"/>
      <c r="Q57" s="5"/>
      <c r="R57" s="5"/>
      <c r="S57" s="5"/>
    </row>
    <row r="58" spans="1:20" s="407" customFormat="1" ht="18" customHeight="1" x14ac:dyDescent="0.2">
      <c r="A58" s="409"/>
      <c r="B58" s="409"/>
      <c r="D58" s="406"/>
      <c r="E58" s="406"/>
      <c r="F58" s="406"/>
      <c r="G58" s="406"/>
      <c r="H58" s="406"/>
      <c r="I58" s="406"/>
      <c r="J58" s="406"/>
    </row>
    <row r="59" spans="1:20" ht="34.15" customHeight="1" x14ac:dyDescent="0.25">
      <c r="A59" s="422"/>
      <c r="B59" s="422"/>
      <c r="C59" s="422"/>
      <c r="D59" s="422"/>
      <c r="E59" s="422"/>
      <c r="F59" s="422"/>
      <c r="G59" s="422"/>
      <c r="H59" s="422"/>
      <c r="I59" s="422"/>
      <c r="J59" s="422"/>
      <c r="K59" s="422"/>
    </row>
    <row r="60" spans="1:20" x14ac:dyDescent="0.2">
      <c r="D60" s="414"/>
      <c r="E60" s="414"/>
      <c r="F60" s="414"/>
      <c r="G60" s="414"/>
      <c r="H60" s="414"/>
      <c r="I60" s="414"/>
      <c r="J60" s="414"/>
    </row>
    <row r="61" spans="1:20" x14ac:dyDescent="0.2">
      <c r="D61" s="414"/>
      <c r="E61" s="414"/>
      <c r="F61" s="414"/>
      <c r="G61" s="414"/>
      <c r="H61" s="414"/>
      <c r="I61" s="414"/>
      <c r="J61" s="414"/>
    </row>
    <row r="62" spans="1:20" x14ac:dyDescent="0.2">
      <c r="D62" s="414"/>
      <c r="E62" s="414"/>
      <c r="F62" s="414"/>
      <c r="G62" s="414"/>
      <c r="H62" s="414"/>
      <c r="I62" s="414"/>
      <c r="J62" s="414"/>
    </row>
    <row r="63" spans="1:20" x14ac:dyDescent="0.2">
      <c r="D63" s="414"/>
      <c r="E63" s="414"/>
      <c r="F63" s="414"/>
      <c r="G63" s="414"/>
      <c r="H63" s="414"/>
      <c r="I63" s="414"/>
      <c r="J63" s="414"/>
    </row>
    <row r="64" spans="1:20" x14ac:dyDescent="0.2">
      <c r="D64" s="414"/>
      <c r="E64" s="414"/>
      <c r="F64" s="414"/>
      <c r="G64" s="414"/>
      <c r="H64" s="414"/>
      <c r="I64" s="414"/>
      <c r="J64" s="414"/>
    </row>
    <row r="65" spans="4:10" x14ac:dyDescent="0.2">
      <c r="D65" s="414"/>
      <c r="E65" s="414"/>
      <c r="F65" s="414"/>
      <c r="G65" s="414"/>
      <c r="H65" s="414"/>
      <c r="I65" s="414"/>
      <c r="J65" s="414"/>
    </row>
    <row r="66" spans="4:10" x14ac:dyDescent="0.2">
      <c r="D66" s="414"/>
      <c r="E66" s="414"/>
      <c r="F66" s="414"/>
      <c r="G66" s="414"/>
      <c r="H66" s="414"/>
      <c r="I66" s="414"/>
      <c r="J66" s="414"/>
    </row>
    <row r="67" spans="4:10" x14ac:dyDescent="0.2">
      <c r="D67" s="414"/>
      <c r="E67" s="414"/>
      <c r="F67" s="414"/>
      <c r="G67" s="414"/>
      <c r="H67" s="414"/>
      <c r="I67" s="414"/>
      <c r="J67" s="414"/>
    </row>
    <row r="68" spans="4:10" x14ac:dyDescent="0.2">
      <c r="D68" s="414"/>
      <c r="E68" s="414"/>
      <c r="F68" s="414"/>
      <c r="G68" s="414"/>
      <c r="H68" s="414"/>
      <c r="I68" s="414"/>
      <c r="J68" s="414"/>
    </row>
    <row r="69" spans="4:10" x14ac:dyDescent="0.2">
      <c r="D69" s="414"/>
      <c r="E69" s="414"/>
      <c r="F69" s="414"/>
      <c r="G69" s="414"/>
      <c r="H69" s="414"/>
      <c r="I69" s="414"/>
      <c r="J69" s="414"/>
    </row>
    <row r="70" spans="4:10" x14ac:dyDescent="0.2">
      <c r="D70" s="414"/>
      <c r="E70" s="414"/>
      <c r="F70" s="414"/>
      <c r="G70" s="414"/>
      <c r="H70" s="414"/>
      <c r="I70" s="414"/>
      <c r="J70" s="414"/>
    </row>
    <row r="71" spans="4:10" x14ac:dyDescent="0.2">
      <c r="D71" s="414"/>
      <c r="E71" s="414"/>
      <c r="F71" s="414"/>
      <c r="G71" s="414"/>
      <c r="H71" s="414"/>
      <c r="I71" s="414"/>
      <c r="J71" s="414"/>
    </row>
    <row r="72" spans="4:10" x14ac:dyDescent="0.2">
      <c r="D72" s="414"/>
      <c r="E72" s="414"/>
      <c r="F72" s="414"/>
      <c r="G72" s="414"/>
      <c r="H72" s="414"/>
      <c r="I72" s="414"/>
      <c r="J72" s="414"/>
    </row>
    <row r="73" spans="4:10" x14ac:dyDescent="0.2">
      <c r="D73" s="414"/>
      <c r="E73" s="414"/>
      <c r="F73" s="414"/>
      <c r="G73" s="414"/>
      <c r="H73" s="414"/>
      <c r="I73" s="414"/>
      <c r="J73" s="414"/>
    </row>
    <row r="74" spans="4:10" x14ac:dyDescent="0.2">
      <c r="D74" s="414"/>
      <c r="E74" s="414"/>
      <c r="F74" s="414"/>
      <c r="G74" s="414"/>
      <c r="H74" s="414"/>
      <c r="I74" s="414"/>
      <c r="J74" s="414"/>
    </row>
    <row r="75" spans="4:10" x14ac:dyDescent="0.2">
      <c r="D75" s="414"/>
      <c r="E75" s="414"/>
      <c r="F75" s="414"/>
      <c r="G75" s="414"/>
      <c r="H75" s="414"/>
      <c r="I75" s="414"/>
      <c r="J75" s="414"/>
    </row>
    <row r="76" spans="4:10" x14ac:dyDescent="0.2">
      <c r="D76" s="414"/>
      <c r="E76" s="414"/>
      <c r="F76" s="414"/>
      <c r="G76" s="414"/>
      <c r="H76" s="414"/>
      <c r="I76" s="414"/>
      <c r="J76" s="414"/>
    </row>
    <row r="77" spans="4:10" x14ac:dyDescent="0.2">
      <c r="D77" s="414"/>
      <c r="E77" s="414"/>
      <c r="F77" s="414"/>
      <c r="G77" s="414"/>
      <c r="H77" s="414"/>
      <c r="I77" s="414"/>
      <c r="J77" s="414"/>
    </row>
    <row r="78" spans="4:10" x14ac:dyDescent="0.2">
      <c r="D78" s="414"/>
      <c r="E78" s="414"/>
      <c r="F78" s="414"/>
      <c r="G78" s="414"/>
      <c r="H78" s="414"/>
      <c r="I78" s="414"/>
      <c r="J78" s="414"/>
    </row>
  </sheetData>
  <mergeCells count="8">
    <mergeCell ref="C3:C4"/>
    <mergeCell ref="C11:C12"/>
    <mergeCell ref="C15:C16"/>
    <mergeCell ref="A1:A2"/>
    <mergeCell ref="B1:B2"/>
    <mergeCell ref="C1:C2"/>
    <mergeCell ref="D1:J1"/>
    <mergeCell ref="O1:T1"/>
  </mergeCells>
  <printOptions horizontalCentered="1" gridLines="1"/>
  <pageMargins left="0" right="0" top="1.75" bottom="0.5" header="0.5" footer="0.5"/>
  <pageSetup scale="73" fitToWidth="0" orientation="portrait" r:id="rId1"/>
  <headerFooter alignWithMargins="0">
    <oddHeader>&amp;LOrdinance # 6333 (pay plan adoption)
Resolution #9044 (contract adoption)&amp;C&amp;"Times New Roman,Bold"&amp;16
 2017 CITY OF PAY PLANS
TEAMSTERS LOCAL UNION NO 763
UTILITIES, PARKS, CIVIC SERVICES and TRANSPORTATION</oddHeader>
    <oddFooter xml:space="preserve">&amp;C&amp;A&amp;REffective 01/01/xx,
System Update 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M6"/>
  <sheetViews>
    <sheetView view="pageLayout" zoomScaleNormal="100" workbookViewId="0">
      <selection sqref="A1:A2"/>
    </sheetView>
  </sheetViews>
  <sheetFormatPr defaultColWidth="9.140625" defaultRowHeight="12.75" x14ac:dyDescent="0.2"/>
  <cols>
    <col min="1" max="1" width="5.7109375" style="273" customWidth="1"/>
    <col min="2" max="2" width="2.7109375" style="273" customWidth="1"/>
    <col min="3" max="3" width="8.28515625" style="273" customWidth="1"/>
    <col min="4" max="4" width="39.5703125" style="246" bestFit="1" customWidth="1"/>
    <col min="5" max="7" width="11.7109375" style="317" customWidth="1"/>
    <col min="8" max="8" width="11.5703125" style="246" bestFit="1" customWidth="1"/>
    <col min="9" max="10" width="9.140625" style="246"/>
    <col min="11" max="11" width="14" style="246" bestFit="1" customWidth="1"/>
    <col min="12" max="16384" width="9.140625" style="246"/>
  </cols>
  <sheetData>
    <row r="1" spans="1:13" s="261" customFormat="1" x14ac:dyDescent="0.2">
      <c r="A1" s="540" t="s">
        <v>559</v>
      </c>
      <c r="B1" s="542"/>
      <c r="C1" s="542" t="s">
        <v>0</v>
      </c>
      <c r="D1" s="542" t="s">
        <v>1</v>
      </c>
      <c r="E1" s="559" t="s">
        <v>381</v>
      </c>
      <c r="F1" s="559" t="s">
        <v>383</v>
      </c>
      <c r="G1" s="559" t="s">
        <v>382</v>
      </c>
      <c r="H1" s="395">
        <v>2017</v>
      </c>
      <c r="K1" s="370">
        <v>2017</v>
      </c>
      <c r="L1" s="309"/>
      <c r="M1" s="309"/>
    </row>
    <row r="2" spans="1:13" s="264" customFormat="1" x14ac:dyDescent="0.2">
      <c r="A2" s="541"/>
      <c r="B2" s="541"/>
      <c r="C2" s="541"/>
      <c r="D2" s="543"/>
      <c r="E2" s="560"/>
      <c r="F2" s="560"/>
      <c r="G2" s="560"/>
      <c r="H2" s="394"/>
      <c r="K2" s="380">
        <v>1.018</v>
      </c>
      <c r="L2" s="384" t="s">
        <v>466</v>
      </c>
      <c r="M2" s="384" t="s">
        <v>467</v>
      </c>
    </row>
    <row r="3" spans="1:13" x14ac:dyDescent="0.2">
      <c r="A3" s="273" t="s">
        <v>883</v>
      </c>
      <c r="B3" s="273" t="s">
        <v>88</v>
      </c>
      <c r="C3" s="273" t="s">
        <v>904</v>
      </c>
      <c r="D3" s="315" t="s">
        <v>35</v>
      </c>
      <c r="E3" s="323">
        <f>E4/12</f>
        <v>9602.156138166667</v>
      </c>
      <c r="F3" s="323">
        <f>F4/12</f>
        <v>10196.247271516668</v>
      </c>
      <c r="G3" s="323">
        <f>G4/12</f>
        <v>10790.338404866667</v>
      </c>
      <c r="H3" s="246" t="s">
        <v>10</v>
      </c>
      <c r="K3" s="312" t="s">
        <v>460</v>
      </c>
      <c r="L3" s="291">
        <f>(F3-E3)/E3</f>
        <v>6.187059706190428E-2</v>
      </c>
      <c r="M3" s="291">
        <f>(G3-F3)/F3</f>
        <v>5.8265665546342646E-2</v>
      </c>
    </row>
    <row r="4" spans="1:13" x14ac:dyDescent="0.2">
      <c r="E4" s="257">
        <f>113188.481*$K$2</f>
        <v>115225.873658</v>
      </c>
      <c r="F4" s="257">
        <f>120191.5199*$K$2</f>
        <v>122354.96725820001</v>
      </c>
      <c r="G4" s="257">
        <f>127194.5588*$K$2</f>
        <v>129484.0608584</v>
      </c>
      <c r="H4" s="246" t="s">
        <v>529</v>
      </c>
      <c r="K4" s="312" t="s">
        <v>461</v>
      </c>
      <c r="L4" s="291">
        <f>(G3-E3)/E3</f>
        <v>0.12374119412380838</v>
      </c>
    </row>
    <row r="5" spans="1:13" x14ac:dyDescent="0.2">
      <c r="E5" s="252">
        <f>E4/2080</f>
        <v>55.397054643269229</v>
      </c>
      <c r="F5" s="252">
        <f>F4/2080</f>
        <v>58.82450348951923</v>
      </c>
      <c r="G5" s="252">
        <f>G4/2080</f>
        <v>62.251952335769232</v>
      </c>
      <c r="H5" s="246" t="s">
        <v>11</v>
      </c>
    </row>
    <row r="6" spans="1:13" ht="35.1" customHeight="1" x14ac:dyDescent="0.2">
      <c r="C6" s="275"/>
    </row>
  </sheetData>
  <customSheetViews>
    <customSheetView guid="{03674138-A9FA-46A6-AB09-A74C70852C0D}" showPageBreaks="1" printArea="1" view="pageLayout">
      <selection activeCell="D13" sqref="D13"/>
      <pageMargins left="0.25" right="0.25" top="1.75" bottom="1" header="0.5" footer="0.5"/>
      <printOptions horizontalCentered="1" gridLines="1"/>
      <pageSetup orientation="portrait" r:id="rId1"/>
      <headerFooter alignWithMargins="0">
        <oddHeader>&amp;L&amp;"Times New Roman,Regular"Ordinance #  (budget adoption)&amp;C&amp;"Times New Roman,Bold"&amp;16ATTACHMENT I
2016 CITY OF BELLEVUE PAY PLANS
NON-AFFILIATED
FIRE MARSHAL</oddHeader>
        <oddFooter>&amp;L&amp;"Times New Roman,Regular"* Position is exempt from overtime.&amp;C&amp;"Times New Roman,Bold"&amp;16&amp;A</oddFooter>
      </headerFooter>
    </customSheetView>
    <customSheetView guid="{6140C585-A678-4296-91B8-0C17DF653D09}" showPageBreaks="1" printArea="1" view="pageLayout">
      <selection sqref="A1:A2"/>
      <pageMargins left="0.25" right="0.25" top="1.75" bottom="1" header="0.5" footer="0.5"/>
      <printOptions horizontalCentered="1" gridLines="1"/>
      <pageSetup orientation="portrait" r:id="rId2"/>
      <headerFooter alignWithMargins="0">
        <oddHeader>&amp;LOrdinance #  (budget adoption)&amp;C&amp;"Arial,Bold"&amp;16
2016 CITY OF BELLEVUE PAY PLANS
&amp;14NON-AFFILIATED
FIRE MARSHAL</oddHeader>
        <oddFooter>&amp;L* Position is exempt from overtime.&amp;C&amp;"Arial,Bold"&amp;16&amp;A&amp;REffective 01/01/15,
System Update 01/xx/15</oddFooter>
      </headerFooter>
    </customSheetView>
    <customSheetView guid="{49073133-97C6-4E81-BEFE-D9E658C173F7}" showPageBreaks="1" printArea="1" view="pageLayout">
      <selection sqref="A1:A2"/>
      <pageMargins left="0.25" right="0.25" top="1.75" bottom="1" header="0.5" footer="0.5"/>
      <printOptions horizontalCentered="1" gridLines="1"/>
      <pageSetup orientation="portrait" r:id="rId3"/>
      <headerFooter alignWithMargins="0">
        <oddHeader>&amp;LOrdinance #  (budget adoption)&amp;C&amp;"Arial,Bold"&amp;16
2016 CITY OF BELLEVUE PAY PLANS
&amp;14NON-AFFILIATED
FIRE MARSHAL</oddHeader>
        <oddFooter>&amp;L* Position is exempt from overtime.&amp;C&amp;"Arial,Bold"&amp;16&amp;A&amp;REffective 01/01/15,
System Update 01/xx/15</oddFooter>
      </headerFooter>
    </customSheetView>
  </customSheetViews>
  <mergeCells count="7">
    <mergeCell ref="F1:F2"/>
    <mergeCell ref="G1:G2"/>
    <mergeCell ref="A1:A2"/>
    <mergeCell ref="C1:C2"/>
    <mergeCell ref="D1:D2"/>
    <mergeCell ref="E1:E2"/>
    <mergeCell ref="B1:B2"/>
  </mergeCells>
  <phoneticPr fontId="7" type="noConversion"/>
  <printOptions horizontalCentered="1" gridLines="1"/>
  <pageMargins left="0.25" right="0.25" top="1.75" bottom="1" header="0.5" footer="0.5"/>
  <pageSetup orientation="portrait" r:id="rId4"/>
  <headerFooter alignWithMargins="0">
    <oddHeader>&amp;LOrdinance #6333 (pay plan adoption)&amp;C&amp;"Times New Roman,Bold"&amp;16
2017 CITY OF BELLEVUE PAY PLANS
&amp;14NON-AFFILIATED
FIRE MARSHAL</oddHeader>
    <oddFooter>&amp;L* Position is exempt from overtime.&amp;C&amp;"Arial,Bold"&amp;16&amp;A&amp;REffective 01/01/17
System Update 01/xx/17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view="pageLayout" zoomScaleNormal="100" workbookViewId="0">
      <selection sqref="A1:A2"/>
    </sheetView>
  </sheetViews>
  <sheetFormatPr defaultColWidth="8.85546875" defaultRowHeight="12.75" x14ac:dyDescent="0.2"/>
  <cols>
    <col min="1" max="1" width="5" style="413" customWidth="1"/>
    <col min="2" max="2" width="2.7109375" style="413" customWidth="1"/>
    <col min="3" max="3" width="7.42578125" style="413" customWidth="1"/>
    <col min="4" max="4" width="36.85546875" style="412" customWidth="1"/>
    <col min="5" max="5" width="11.28515625" style="415" bestFit="1" customWidth="1"/>
    <col min="6" max="6" width="10.7109375" style="415" customWidth="1"/>
    <col min="7" max="8" width="12.5703125" style="415" customWidth="1"/>
    <col min="9" max="11" width="10.7109375" style="415" customWidth="1"/>
    <col min="12" max="12" width="17" style="412" bestFit="1" customWidth="1"/>
    <col min="13" max="16384" width="8.85546875" style="412"/>
  </cols>
  <sheetData>
    <row r="1" spans="1:15" s="404" customFormat="1" x14ac:dyDescent="0.2">
      <c r="A1" s="588" t="s">
        <v>559</v>
      </c>
      <c r="B1" s="547"/>
      <c r="C1" s="547" t="s">
        <v>0</v>
      </c>
      <c r="D1" s="547" t="s">
        <v>1</v>
      </c>
      <c r="E1" s="550" t="s">
        <v>2</v>
      </c>
      <c r="F1" s="550"/>
      <c r="G1" s="550"/>
      <c r="H1" s="500"/>
      <c r="I1" s="436">
        <v>2017</v>
      </c>
      <c r="J1" s="423"/>
      <c r="K1" s="423"/>
      <c r="L1" s="424">
        <v>2017</v>
      </c>
      <c r="M1" s="550" t="s">
        <v>2</v>
      </c>
      <c r="N1" s="550"/>
      <c r="O1" s="280"/>
    </row>
    <row r="2" spans="1:15" s="405" customFormat="1" x14ac:dyDescent="0.2">
      <c r="A2" s="548"/>
      <c r="B2" s="548"/>
      <c r="C2" s="548"/>
      <c r="D2" s="549"/>
      <c r="E2" s="416" t="s">
        <v>600</v>
      </c>
      <c r="F2" s="416" t="s">
        <v>599</v>
      </c>
      <c r="G2" s="416" t="s">
        <v>865</v>
      </c>
      <c r="H2" s="416" t="s">
        <v>1056</v>
      </c>
      <c r="I2" s="416"/>
      <c r="J2" s="416"/>
      <c r="K2" s="416"/>
      <c r="L2" s="508">
        <v>1.0255000000000001</v>
      </c>
      <c r="M2" s="416" t="s">
        <v>866</v>
      </c>
      <c r="N2" s="416" t="s">
        <v>867</v>
      </c>
      <c r="O2" s="498" t="s">
        <v>1057</v>
      </c>
    </row>
    <row r="3" spans="1:15" s="407" customFormat="1" x14ac:dyDescent="0.2">
      <c r="A3" s="497" t="s">
        <v>1058</v>
      </c>
      <c r="B3" s="497" t="s">
        <v>88</v>
      </c>
      <c r="C3" s="360" t="s">
        <v>1059</v>
      </c>
      <c r="D3" s="357" t="s">
        <v>1055</v>
      </c>
      <c r="E3" s="418">
        <f>7496.59*$L$2</f>
        <v>7687.7530450000004</v>
      </c>
      <c r="F3" s="418">
        <f>7871.42*$L$2</f>
        <v>8072.1412100000007</v>
      </c>
      <c r="G3" s="418">
        <f>8264.99*$L$2</f>
        <v>8475.7472450000005</v>
      </c>
      <c r="H3" s="418">
        <f>8678.24*$L$2</f>
        <v>8899.5351200000005</v>
      </c>
      <c r="I3" s="357" t="s">
        <v>10</v>
      </c>
      <c r="J3" s="425"/>
      <c r="K3" s="425"/>
      <c r="L3" s="358" t="s">
        <v>460</v>
      </c>
      <c r="M3" s="270">
        <f>(F3-E3)/E3</f>
        <v>5.0000066696991599E-2</v>
      </c>
      <c r="N3" s="270">
        <f>(G3-F3)/F3</f>
        <v>4.9999872958119342E-2</v>
      </c>
      <c r="O3" s="357"/>
    </row>
    <row r="4" spans="1:15" s="407" customFormat="1" x14ac:dyDescent="0.2">
      <c r="A4" s="497"/>
      <c r="B4" s="497"/>
      <c r="C4" s="497"/>
      <c r="D4" s="357"/>
      <c r="E4" s="418">
        <f>E3*12</f>
        <v>92253.036540000001</v>
      </c>
      <c r="F4" s="418">
        <f>F3*12</f>
        <v>96865.694520000005</v>
      </c>
      <c r="G4" s="418">
        <f>G3*12</f>
        <v>101708.96694000001</v>
      </c>
      <c r="H4" s="418">
        <f>H3*12</f>
        <v>106794.42144000001</v>
      </c>
      <c r="I4" s="357" t="s">
        <v>529</v>
      </c>
      <c r="J4" s="425"/>
      <c r="K4" s="425"/>
      <c r="L4" s="358" t="s">
        <v>461</v>
      </c>
      <c r="M4" s="270">
        <f>(G3-E3)/G3</f>
        <v>9.2970469413756099E-2</v>
      </c>
      <c r="N4" s="357"/>
      <c r="O4" s="357"/>
    </row>
    <row r="5" spans="1:15" s="407" customFormat="1" x14ac:dyDescent="0.2">
      <c r="A5" s="497"/>
      <c r="B5" s="497"/>
      <c r="C5" s="497"/>
      <c r="D5" s="357"/>
      <c r="E5" s="418">
        <f>E4/2080</f>
        <v>44.352421413461542</v>
      </c>
      <c r="F5" s="418">
        <f>F4/2080</f>
        <v>46.570045442307695</v>
      </c>
      <c r="G5" s="418">
        <f>G4/2080</f>
        <v>48.898541798076927</v>
      </c>
      <c r="H5" s="418">
        <f>H4/2080</f>
        <v>51.343471846153847</v>
      </c>
      <c r="I5" s="357" t="s">
        <v>11</v>
      </c>
      <c r="J5" s="425"/>
      <c r="K5" s="425"/>
      <c r="L5" s="358" t="s">
        <v>462</v>
      </c>
      <c r="M5" s="270" t="e">
        <f>(#REF!-#REF!)/#REF!</f>
        <v>#REF!</v>
      </c>
      <c r="N5" s="270" t="e">
        <f>(#REF!-#REF!)/#REF!</f>
        <v>#REF!</v>
      </c>
      <c r="O5" s="357"/>
    </row>
    <row r="6" spans="1:15" s="407" customFormat="1" ht="35.1" customHeight="1" x14ac:dyDescent="0.2">
      <c r="A6" s="497"/>
      <c r="B6" s="497"/>
      <c r="C6" s="497"/>
      <c r="D6" s="503"/>
      <c r="E6" s="418"/>
      <c r="F6" s="418"/>
      <c r="G6" s="418"/>
      <c r="H6" s="418"/>
      <c r="I6" s="357"/>
      <c r="J6" s="426"/>
      <c r="K6" s="426"/>
      <c r="L6" s="357"/>
      <c r="M6" s="357"/>
      <c r="N6" s="357"/>
      <c r="O6" s="357"/>
    </row>
    <row r="7" spans="1:15" s="407" customFormat="1" x14ac:dyDescent="0.2">
      <c r="A7" s="497"/>
      <c r="B7" s="497"/>
      <c r="C7" s="360"/>
      <c r="D7" s="357"/>
      <c r="E7" s="418"/>
      <c r="F7" s="418"/>
      <c r="G7" s="418"/>
      <c r="H7" s="418"/>
      <c r="I7" s="357"/>
      <c r="J7" s="426"/>
      <c r="K7" s="426"/>
      <c r="L7" s="358"/>
      <c r="M7" s="270"/>
      <c r="N7" s="270"/>
      <c r="O7" s="357"/>
    </row>
    <row r="8" spans="1:15" s="407" customFormat="1" x14ac:dyDescent="0.2">
      <c r="A8" s="497"/>
      <c r="B8" s="497"/>
      <c r="C8" s="360"/>
      <c r="D8" s="357"/>
      <c r="E8" s="418"/>
      <c r="F8" s="418"/>
      <c r="G8" s="418"/>
      <c r="H8" s="418"/>
      <c r="I8" s="357"/>
      <c r="J8" s="426"/>
      <c r="K8" s="426"/>
      <c r="L8" s="358"/>
      <c r="M8" s="270"/>
      <c r="N8" s="357"/>
      <c r="O8" s="357"/>
    </row>
    <row r="9" spans="1:15" s="407" customFormat="1" x14ac:dyDescent="0.2">
      <c r="A9" s="497"/>
      <c r="B9" s="497"/>
      <c r="C9" s="360"/>
      <c r="D9" s="357"/>
      <c r="E9" s="418"/>
      <c r="F9" s="418"/>
      <c r="G9" s="418"/>
      <c r="H9" s="418"/>
      <c r="I9" s="357"/>
      <c r="J9" s="426"/>
      <c r="K9" s="426"/>
      <c r="L9" s="358"/>
      <c r="M9" s="270"/>
      <c r="N9" s="270"/>
      <c r="O9" s="270"/>
    </row>
    <row r="10" spans="1:15" s="407" customFormat="1" ht="35.1" customHeight="1" x14ac:dyDescent="0.2">
      <c r="A10" s="497"/>
      <c r="B10" s="497"/>
      <c r="C10" s="497"/>
      <c r="D10" s="43"/>
      <c r="E10" s="418"/>
      <c r="F10" s="418"/>
      <c r="G10" s="418"/>
      <c r="H10" s="418"/>
      <c r="I10" s="357"/>
      <c r="J10" s="426"/>
      <c r="K10" s="426"/>
      <c r="L10" s="357"/>
      <c r="M10" s="357"/>
      <c r="N10" s="357"/>
      <c r="O10" s="357"/>
    </row>
    <row r="11" spans="1:15" s="407" customFormat="1" x14ac:dyDescent="0.2">
      <c r="A11" s="497"/>
      <c r="B11" s="497"/>
      <c r="C11" s="360"/>
      <c r="D11" s="357"/>
      <c r="E11" s="418"/>
      <c r="F11" s="418"/>
      <c r="G11" s="418"/>
      <c r="H11" s="418"/>
      <c r="I11" s="357"/>
      <c r="J11" s="426"/>
      <c r="K11" s="426"/>
      <c r="L11" s="358"/>
      <c r="M11" s="270"/>
      <c r="N11" s="270"/>
      <c r="O11" s="357"/>
    </row>
    <row r="12" spans="1:15" s="407" customFormat="1" x14ac:dyDescent="0.2">
      <c r="A12" s="497"/>
      <c r="B12" s="497"/>
      <c r="C12" s="360"/>
      <c r="D12" s="357"/>
      <c r="E12" s="418"/>
      <c r="F12" s="418"/>
      <c r="G12" s="418"/>
      <c r="H12" s="418"/>
      <c r="I12" s="357"/>
      <c r="J12" s="426"/>
      <c r="K12" s="426"/>
      <c r="L12" s="358"/>
      <c r="M12" s="270"/>
      <c r="N12" s="357"/>
      <c r="O12" s="357"/>
    </row>
    <row r="13" spans="1:15" s="407" customFormat="1" x14ac:dyDescent="0.2">
      <c r="A13" s="497"/>
      <c r="B13" s="497"/>
      <c r="C13" s="360"/>
      <c r="D13" s="357"/>
      <c r="E13" s="418"/>
      <c r="F13" s="418"/>
      <c r="G13" s="418"/>
      <c r="H13" s="418"/>
      <c r="I13" s="357"/>
      <c r="J13" s="426"/>
      <c r="K13" s="426"/>
      <c r="L13" s="357"/>
      <c r="M13" s="357"/>
      <c r="N13" s="357"/>
      <c r="O13" s="357"/>
    </row>
    <row r="14" spans="1:15" s="407" customFormat="1" ht="35.1" customHeight="1" x14ac:dyDescent="0.25">
      <c r="A14" s="429"/>
      <c r="B14" s="429"/>
      <c r="C14" s="429"/>
      <c r="D14" s="429"/>
      <c r="E14" s="429"/>
      <c r="F14" s="429"/>
      <c r="G14" s="429"/>
      <c r="H14" s="429"/>
      <c r="I14" s="429"/>
      <c r="J14" s="426"/>
      <c r="K14" s="426"/>
      <c r="L14" s="357"/>
      <c r="M14" s="357"/>
      <c r="N14" s="357"/>
      <c r="O14" s="357"/>
    </row>
    <row r="15" spans="1:15" s="407" customFormat="1" ht="18.75" x14ac:dyDescent="0.3">
      <c r="A15" s="427"/>
      <c r="B15" s="428"/>
      <c r="C15" s="428"/>
      <c r="D15" s="497"/>
      <c r="E15" s="428"/>
      <c r="F15" s="428"/>
      <c r="G15" s="428"/>
      <c r="H15" s="428"/>
      <c r="I15" s="428"/>
      <c r="J15" s="428"/>
      <c r="K15" s="428"/>
      <c r="L15" s="357"/>
      <c r="M15" s="357"/>
      <c r="N15" s="357"/>
      <c r="O15" s="357"/>
    </row>
    <row r="16" spans="1:15" x14ac:dyDescent="0.2">
      <c r="A16" s="499"/>
      <c r="B16" s="499"/>
      <c r="C16" s="499"/>
      <c r="D16" s="296"/>
      <c r="E16" s="418"/>
      <c r="F16" s="418"/>
      <c r="G16" s="418"/>
      <c r="H16" s="418"/>
      <c r="I16" s="418"/>
      <c r="J16" s="418"/>
      <c r="K16" s="418"/>
      <c r="L16" s="296"/>
      <c r="M16" s="296"/>
      <c r="N16" s="296"/>
      <c r="O16" s="296"/>
    </row>
    <row r="17" spans="1:15" x14ac:dyDescent="0.2">
      <c r="A17" s="499"/>
      <c r="B17" s="499"/>
      <c r="C17" s="499"/>
      <c r="D17" s="296"/>
      <c r="E17" s="323"/>
      <c r="F17" s="418"/>
      <c r="G17" s="418"/>
      <c r="H17" s="418"/>
      <c r="I17" s="418"/>
      <c r="J17" s="418"/>
      <c r="K17" s="418"/>
      <c r="L17" s="296"/>
      <c r="M17" s="296"/>
      <c r="N17" s="296"/>
      <c r="O17" s="296"/>
    </row>
    <row r="18" spans="1:15" x14ac:dyDescent="0.2">
      <c r="E18" s="406"/>
      <c r="F18" s="406"/>
      <c r="G18" s="406"/>
      <c r="H18" s="406"/>
      <c r="I18" s="406"/>
      <c r="J18" s="406"/>
      <c r="K18" s="406"/>
    </row>
    <row r="19" spans="1:15" x14ac:dyDescent="0.2">
      <c r="E19" s="410"/>
      <c r="F19" s="410"/>
      <c r="G19" s="410"/>
      <c r="H19" s="410"/>
      <c r="I19" s="410"/>
      <c r="J19" s="410"/>
      <c r="K19" s="410"/>
    </row>
  </sheetData>
  <mergeCells count="6">
    <mergeCell ref="M1:N1"/>
    <mergeCell ref="A1:A2"/>
    <mergeCell ref="B1:B2"/>
    <mergeCell ref="C1:C2"/>
    <mergeCell ref="D1:D2"/>
    <mergeCell ref="E1:G1"/>
  </mergeCells>
  <printOptions horizontalCentered="1" gridLines="1"/>
  <pageMargins left="0.25" right="0.25" top="2" bottom="1" header="0.5" footer="0.5"/>
  <pageSetup scale="84" orientation="portrait" r:id="rId1"/>
  <headerFooter alignWithMargins="0">
    <oddHeader>&amp;LOrdinance #6333 (pay plan adoption)
Resolution # (contract adoption)&amp;C&amp;"Times New Roman,Bold"&amp;16
2017 CITY OF BELLEVUE PAY PLANS
TEAMSTERS UNION LOCAL NO 763
DSD BUILDING DIVISION
REVIEW AND INSPECTION SUPERVISORS</oddHeader>
    <oddFooter>&amp;L* Position is exempt from overtime.&amp;C&amp;"Arial,Bold"&amp;16&amp;A&amp;REffective 01/01/17
System Update 01/xx/17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view="pageLayout" zoomScaleNormal="100" workbookViewId="0">
      <selection sqref="A1:A2"/>
    </sheetView>
  </sheetViews>
  <sheetFormatPr defaultColWidth="9.140625" defaultRowHeight="12.75" x14ac:dyDescent="0.2"/>
  <cols>
    <col min="1" max="1" width="7.7109375" style="523" customWidth="1"/>
    <col min="2" max="2" width="2.7109375" style="523" customWidth="1"/>
    <col min="3" max="3" width="8.28515625" style="523" customWidth="1"/>
    <col min="4" max="4" width="40.7109375" style="246" customWidth="1"/>
    <col min="5" max="5" width="10.7109375" style="274" customWidth="1"/>
    <col min="6" max="6" width="10.7109375" style="246" customWidth="1"/>
    <col min="7" max="16384" width="9.140625" style="246"/>
  </cols>
  <sheetData>
    <row r="1" spans="1:6" s="261" customFormat="1" x14ac:dyDescent="0.2">
      <c r="A1" s="540" t="s">
        <v>559</v>
      </c>
      <c r="B1" s="524"/>
      <c r="C1" s="542" t="s">
        <v>0</v>
      </c>
      <c r="D1" s="542" t="s">
        <v>1</v>
      </c>
      <c r="E1" s="542" t="s">
        <v>463</v>
      </c>
      <c r="F1" s="525">
        <v>2017</v>
      </c>
    </row>
    <row r="2" spans="1:6" s="524" customFormat="1" x14ac:dyDescent="0.2">
      <c r="A2" s="541"/>
      <c r="B2" s="523"/>
      <c r="C2" s="541"/>
      <c r="D2" s="543"/>
      <c r="E2" s="542"/>
      <c r="F2" s="525"/>
    </row>
    <row r="3" spans="1:6" x14ac:dyDescent="0.2">
      <c r="A3" s="275" t="s">
        <v>421</v>
      </c>
      <c r="B3" s="523" t="s">
        <v>88</v>
      </c>
      <c r="C3" s="275" t="s">
        <v>319</v>
      </c>
      <c r="D3" s="276" t="s">
        <v>13</v>
      </c>
      <c r="E3" s="257">
        <v>2394</v>
      </c>
      <c r="F3" s="246" t="s">
        <v>10</v>
      </c>
    </row>
    <row r="4" spans="1:6" x14ac:dyDescent="0.2">
      <c r="E4" s="257">
        <f>12*E3</f>
        <v>28728</v>
      </c>
      <c r="F4" s="246" t="s">
        <v>529</v>
      </c>
    </row>
    <row r="5" spans="1:6" ht="35.1" customHeight="1" x14ac:dyDescent="0.2">
      <c r="E5" s="258"/>
    </row>
    <row r="6" spans="1:6" x14ac:dyDescent="0.2">
      <c r="A6" s="523" t="s">
        <v>422</v>
      </c>
      <c r="B6" s="523" t="s">
        <v>88</v>
      </c>
      <c r="C6" s="275" t="s">
        <v>321</v>
      </c>
      <c r="D6" s="276" t="s">
        <v>57</v>
      </c>
      <c r="E6" s="257">
        <v>2539</v>
      </c>
      <c r="F6" s="246" t="s">
        <v>10</v>
      </c>
    </row>
    <row r="7" spans="1:6" x14ac:dyDescent="0.2">
      <c r="C7" s="275"/>
      <c r="E7" s="257">
        <f>12*E6</f>
        <v>30468</v>
      </c>
      <c r="F7" s="246" t="s">
        <v>529</v>
      </c>
    </row>
    <row r="8" spans="1:6" ht="35.1" customHeight="1" x14ac:dyDescent="0.2">
      <c r="C8" s="275"/>
      <c r="E8" s="258"/>
    </row>
    <row r="9" spans="1:6" x14ac:dyDescent="0.2">
      <c r="A9" s="523" t="s">
        <v>58</v>
      </c>
      <c r="B9" s="523" t="s">
        <v>88</v>
      </c>
      <c r="C9" s="275" t="s">
        <v>320</v>
      </c>
      <c r="D9" s="276" t="s">
        <v>14</v>
      </c>
      <c r="E9" s="257">
        <v>2829</v>
      </c>
      <c r="F9" s="246" t="s">
        <v>10</v>
      </c>
    </row>
    <row r="10" spans="1:6" x14ac:dyDescent="0.2">
      <c r="C10" s="275"/>
      <c r="E10" s="257">
        <f>12*E9</f>
        <v>33948</v>
      </c>
      <c r="F10" s="246" t="s">
        <v>529</v>
      </c>
    </row>
    <row r="11" spans="1:6" ht="35.1" customHeight="1" x14ac:dyDescent="0.2">
      <c r="E11" s="258"/>
    </row>
  </sheetData>
  <mergeCells count="4">
    <mergeCell ref="A1:A2"/>
    <mergeCell ref="C1:C2"/>
    <mergeCell ref="D1:D2"/>
    <mergeCell ref="E1:E2"/>
  </mergeCells>
  <printOptions horizontalCentered="1" gridLines="1"/>
  <pageMargins left="0.25" right="0.25" top="1.75" bottom="1" header="0.5" footer="0.5"/>
  <pageSetup orientation="portrait" r:id="rId1"/>
  <headerFooter alignWithMargins="0">
    <oddHeader>&amp;LOrdinance #6306 and 6322
&amp;C&amp;"Times New Roman,Regular"&amp;16&amp;KFF0000Effective January 7, 2017&amp;"Times New Roman,Bold"&amp;K000000
CITY OF BELLEVUE PAY PLANS
&amp;14ELECTED OFFICIALS
COUNCIL</oddHeader>
    <oddFooter>&amp;L* Position is exempt from overtime.
&amp;"Arial,Bold"&amp;UNOTE&amp;"Arial,Regular"&amp;U:  This pay plan is not subject to
GSA/COLA increases.&amp;C&amp;"Arial,Bold"&amp;16&amp;A&amp;REffective 01/07/2017,
System Update 01/xx/17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1"/>
  <sheetViews>
    <sheetView view="pageLayout" zoomScaleNormal="100" workbookViewId="0">
      <selection activeCell="F22" sqref="F22"/>
    </sheetView>
  </sheetViews>
  <sheetFormatPr defaultColWidth="9.140625" defaultRowHeight="12.75" x14ac:dyDescent="0.2"/>
  <cols>
    <col min="1" max="1" width="7.7109375" style="273" customWidth="1"/>
    <col min="2" max="2" width="2.7109375" style="273" customWidth="1"/>
    <col min="3" max="3" width="8.28515625" style="273" customWidth="1"/>
    <col min="4" max="4" width="40.7109375" style="246" customWidth="1"/>
    <col min="5" max="5" width="10.7109375" style="274" customWidth="1"/>
    <col min="6" max="6" width="10.7109375" style="246" customWidth="1"/>
    <col min="7" max="16384" width="9.140625" style="246"/>
  </cols>
  <sheetData>
    <row r="1" spans="1:6" s="261" customFormat="1" x14ac:dyDescent="0.2">
      <c r="A1" s="540" t="s">
        <v>559</v>
      </c>
      <c r="B1" s="264"/>
      <c r="C1" s="542" t="s">
        <v>0</v>
      </c>
      <c r="D1" s="542" t="s">
        <v>1</v>
      </c>
      <c r="E1" s="542" t="s">
        <v>463</v>
      </c>
      <c r="F1" s="394">
        <v>2017</v>
      </c>
    </row>
    <row r="2" spans="1:6" s="264" customFormat="1" x14ac:dyDescent="0.2">
      <c r="A2" s="541"/>
      <c r="B2" s="273"/>
      <c r="C2" s="541"/>
      <c r="D2" s="543"/>
      <c r="E2" s="542"/>
      <c r="F2" s="394"/>
    </row>
    <row r="3" spans="1:6" x14ac:dyDescent="0.2">
      <c r="A3" s="275" t="s">
        <v>421</v>
      </c>
      <c r="B3" s="273" t="s">
        <v>88</v>
      </c>
      <c r="C3" s="275" t="s">
        <v>319</v>
      </c>
      <c r="D3" s="276" t="s">
        <v>13</v>
      </c>
      <c r="E3" s="257">
        <v>1650</v>
      </c>
      <c r="F3" s="246" t="s">
        <v>10</v>
      </c>
    </row>
    <row r="4" spans="1:6" x14ac:dyDescent="0.2">
      <c r="E4" s="257">
        <f>12*ROUND(E3,0)</f>
        <v>19800</v>
      </c>
      <c r="F4" s="246" t="s">
        <v>529</v>
      </c>
    </row>
    <row r="5" spans="1:6" ht="35.1" customHeight="1" x14ac:dyDescent="0.2">
      <c r="E5" s="258"/>
    </row>
    <row r="6" spans="1:6" x14ac:dyDescent="0.2">
      <c r="A6" s="273" t="s">
        <v>422</v>
      </c>
      <c r="B6" s="273" t="s">
        <v>88</v>
      </c>
      <c r="C6" s="275" t="s">
        <v>321</v>
      </c>
      <c r="D6" s="276" t="s">
        <v>57</v>
      </c>
      <c r="E6" s="257">
        <v>1750</v>
      </c>
      <c r="F6" s="246" t="s">
        <v>10</v>
      </c>
    </row>
    <row r="7" spans="1:6" x14ac:dyDescent="0.2">
      <c r="C7" s="275"/>
      <c r="E7" s="257">
        <f>12*ROUND(E6,0)</f>
        <v>21000</v>
      </c>
      <c r="F7" s="246" t="s">
        <v>529</v>
      </c>
    </row>
    <row r="8" spans="1:6" ht="35.1" customHeight="1" x14ac:dyDescent="0.2">
      <c r="C8" s="275"/>
      <c r="E8" s="258"/>
    </row>
    <row r="9" spans="1:6" x14ac:dyDescent="0.2">
      <c r="A9" s="273" t="s">
        <v>58</v>
      </c>
      <c r="B9" s="273" t="s">
        <v>88</v>
      </c>
      <c r="C9" s="275" t="s">
        <v>320</v>
      </c>
      <c r="D9" s="276" t="s">
        <v>14</v>
      </c>
      <c r="E9" s="257">
        <v>1950</v>
      </c>
      <c r="F9" s="246" t="s">
        <v>10</v>
      </c>
    </row>
    <row r="10" spans="1:6" x14ac:dyDescent="0.2">
      <c r="C10" s="275"/>
      <c r="E10" s="257">
        <f>12*ROUND(E9,0)</f>
        <v>23400</v>
      </c>
      <c r="F10" s="246" t="s">
        <v>529</v>
      </c>
    </row>
    <row r="11" spans="1:6" ht="35.1" customHeight="1" x14ac:dyDescent="0.2">
      <c r="E11" s="258"/>
    </row>
  </sheetData>
  <customSheetViews>
    <customSheetView guid="{03674138-A9FA-46A6-AB09-A74C70852C0D}" showPageBreaks="1" printArea="1" view="pageLayout">
      <selection activeCell="D15" sqref="D15"/>
      <pageMargins left="0.25" right="0.25" top="1.75" bottom="1" header="0.5" footer="0.5"/>
      <printOptions horizontalCentered="1" gridLines="1"/>
      <pageSetup orientation="portrait" r:id="rId1"/>
      <headerFooter alignWithMargins="0">
        <oddHeader>&amp;L&amp;"Times New Roman,Regular"Ordinance #5163 (pay rate adoption)&amp;C&amp;"Times New Roman,Bold"&amp;16 ATTACHMENT I
2016 CITY OF BELLEVUE PAY PLANS
&amp;14ELECTED OFFICIALS
COUNCIL</oddHeader>
        <oddFooter>&amp;L&amp;"Times New Roman,Regular"* Position is exempt from overtime.
&amp;"Times New Roman,Bold"&amp;UNOTE&amp;"Times New Roman,Regular"&amp;U:  This pay plan is not subject to
GSA/COLA increases.&amp;C&amp;"Times New Roman,Bold"&amp;16&amp;A</oddFooter>
      </headerFooter>
    </customSheetView>
    <customSheetView guid="{6140C585-A678-4296-91B8-0C17DF653D09}" showPageBreaks="1" printArea="1" view="pageLayout">
      <selection sqref="A1:A2"/>
      <pageMargins left="0.25" right="0.25" top="1.75" bottom="1" header="0.5" footer="0.5"/>
      <printOptions horizontalCentered="1" gridLines="1"/>
      <pageSetup orientation="portrait" r:id="rId2"/>
      <headerFooter alignWithMargins="0">
        <oddHeader>&amp;LOrdinance #5163 (pay rate adoption)&amp;C&amp;"Arial,Bold"&amp;16 2016 
CITY OF BELLEVUE PAY PLANS
&amp;14ELECTED OFFICIALS
COUNCIL</oddHeader>
        <oddFooter>&amp;L* Position is exempt from overtime.
&amp;"Arial,Bold"&amp;UNOTE&amp;"Arial,Regular"&amp;U:  This pay plan is not subject to
GSA/COLA increases.&amp;C&amp;"Arial,Bold"&amp;16&amp;A&amp;REffective 01/01/00,
System Update 01/5/00</oddFooter>
      </headerFooter>
    </customSheetView>
    <customSheetView guid="{49073133-97C6-4E81-BEFE-D9E658C173F7}" showPageBreaks="1" printArea="1" view="pageLayout">
      <selection sqref="A1:A2"/>
      <pageMargins left="0.25" right="0.25" top="1.75" bottom="1" header="0.5" footer="0.5"/>
      <printOptions horizontalCentered="1" gridLines="1"/>
      <pageSetup orientation="portrait" r:id="rId3"/>
      <headerFooter alignWithMargins="0">
        <oddHeader>&amp;LOrdinance #5163 (pay rate adoption)&amp;C&amp;"Times New Roman,Bold"&amp;16 2016 
CITY OF BELLEVUE PAY PLANS
&amp;14ELECTED OFFICIALS
COUNCIL</oddHeader>
        <oddFooter>&amp;L* Position is exempt from overtime.
&amp;"Arial,Bold"&amp;UNOTE&amp;"Arial,Regular"&amp;U:  This pay plan is not subject to
GSA/COLA increases.&amp;C&amp;"Arial,Bold"&amp;16&amp;A&amp;REffective 01/01/00,
System Update 01/5/00</oddFooter>
      </headerFooter>
    </customSheetView>
  </customSheetViews>
  <mergeCells count="4">
    <mergeCell ref="A1:A2"/>
    <mergeCell ref="C1:C2"/>
    <mergeCell ref="D1:D2"/>
    <mergeCell ref="E1:E2"/>
  </mergeCells>
  <phoneticPr fontId="7" type="noConversion"/>
  <printOptions horizontalCentered="1" gridLines="1"/>
  <pageMargins left="0.25" right="0.25" top="1.75" bottom="1" header="0.5" footer="0.5"/>
  <pageSetup orientation="portrait" r:id="rId4"/>
  <headerFooter alignWithMargins="0">
    <oddHeader>&amp;LOrdinance #5163
(pay rate adoption)&amp;C&amp;"Times New Roman,Regular"&amp;16&amp;KFF0000Effective Jan. 1 through Jan. 6, 2017&amp;"Times New Roman,Bold"&amp;K000000
CITY OF BELLEVUE PAY PLANS
&amp;14ELECTED OFFICIALS
COUNCIL</oddHeader>
    <oddFooter>&amp;L* Position is exempt from overtime.
&amp;"Arial,Bold"&amp;UNOTE&amp;"Arial,Regular"&amp;U:  This pay plan is not subject to
GSA/COLA increases.&amp;C&amp;"Arial,Bold"&amp;16&amp;A&amp;REffective 01/01/00,
System Update 01/5/00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5"/>
  <sheetViews>
    <sheetView view="pageLayout" zoomScale="85" zoomScaleNormal="115" zoomScalePageLayoutView="85" workbookViewId="0">
      <selection sqref="A1:A2"/>
    </sheetView>
  </sheetViews>
  <sheetFormatPr defaultColWidth="9.140625" defaultRowHeight="12.75" x14ac:dyDescent="0.2"/>
  <cols>
    <col min="1" max="1" width="5" style="532" customWidth="1"/>
    <col min="2" max="2" width="7.85546875" style="532" customWidth="1"/>
    <col min="3" max="3" width="30.85546875" style="292" customWidth="1"/>
    <col min="4" max="9" width="10.7109375" style="302" customWidth="1"/>
    <col min="10" max="10" width="9.85546875" style="292" customWidth="1"/>
    <col min="11" max="11" width="10.7109375" style="292" customWidth="1"/>
    <col min="12" max="12" width="11.140625" style="292" customWidth="1"/>
    <col min="13" max="13" width="14.140625" style="292" customWidth="1"/>
    <col min="14" max="16384" width="9.140625" style="292"/>
  </cols>
  <sheetData>
    <row r="1" spans="1:18" s="278" customFormat="1" ht="12.75" customHeight="1" x14ac:dyDescent="0.2">
      <c r="A1" s="545" t="s">
        <v>559</v>
      </c>
      <c r="B1" s="554" t="s">
        <v>0</v>
      </c>
      <c r="C1" s="554" t="s">
        <v>1</v>
      </c>
      <c r="D1" s="557" t="s">
        <v>2</v>
      </c>
      <c r="E1" s="557"/>
      <c r="F1" s="557"/>
      <c r="G1" s="557"/>
      <c r="H1" s="557"/>
      <c r="I1" s="557"/>
      <c r="J1" s="277">
        <v>2017</v>
      </c>
      <c r="K1" s="278">
        <v>2017</v>
      </c>
      <c r="L1" s="279">
        <v>1.018</v>
      </c>
      <c r="M1" s="280"/>
      <c r="N1" s="550"/>
      <c r="O1" s="550"/>
      <c r="P1" s="550"/>
      <c r="Q1" s="550"/>
      <c r="R1" s="550"/>
    </row>
    <row r="2" spans="1:18" s="282" customFormat="1" x14ac:dyDescent="0.2">
      <c r="A2" s="546"/>
      <c r="B2" s="555"/>
      <c r="C2" s="556"/>
      <c r="D2" s="281">
        <v>1</v>
      </c>
      <c r="E2" s="281">
        <v>2</v>
      </c>
      <c r="F2" s="281">
        <v>3</v>
      </c>
      <c r="G2" s="281">
        <v>4</v>
      </c>
      <c r="H2" s="281">
        <v>5</v>
      </c>
      <c r="I2" s="281">
        <v>6</v>
      </c>
      <c r="J2" s="531"/>
      <c r="K2" s="282" t="s">
        <v>1081</v>
      </c>
      <c r="L2" s="282" t="s">
        <v>1082</v>
      </c>
      <c r="M2" s="530"/>
      <c r="N2" s="284" t="s">
        <v>455</v>
      </c>
      <c r="O2" s="284" t="s">
        <v>456</v>
      </c>
      <c r="P2" s="284" t="s">
        <v>457</v>
      </c>
      <c r="Q2" s="284" t="s">
        <v>458</v>
      </c>
      <c r="R2" s="284" t="s">
        <v>459</v>
      </c>
    </row>
    <row r="3" spans="1:18" x14ac:dyDescent="0.2">
      <c r="A3" s="285" t="s">
        <v>521</v>
      </c>
      <c r="B3" s="285" t="s">
        <v>1083</v>
      </c>
      <c r="C3" s="286" t="s">
        <v>1084</v>
      </c>
      <c r="D3" s="287">
        <f>ROUND(3376.13*$L$5,2)</f>
        <v>3470.66</v>
      </c>
      <c r="E3" s="287">
        <f>ROUND(3548.55*$L$5,2)</f>
        <v>3647.91</v>
      </c>
      <c r="F3" s="287">
        <f>ROUND(3725.66*$L$5,2)</f>
        <v>3829.98</v>
      </c>
      <c r="G3" s="287">
        <f>ROUND(3910.61*$L$5,2)</f>
        <v>4020.11</v>
      </c>
      <c r="H3" s="287">
        <f>ROUND(4108.09*$L$5,2)</f>
        <v>4223.12</v>
      </c>
      <c r="I3" s="287">
        <f>ROUND(4314.98*$L$5,2)</f>
        <v>4435.8</v>
      </c>
      <c r="J3" s="288" t="s">
        <v>10</v>
      </c>
      <c r="K3" s="289">
        <v>1.018</v>
      </c>
      <c r="L3" s="289">
        <v>1.048</v>
      </c>
      <c r="M3" s="290" t="s">
        <v>460</v>
      </c>
      <c r="N3" s="291">
        <f>(E3-D3)/D3</f>
        <v>5.1070977854356235E-2</v>
      </c>
      <c r="O3" s="291">
        <f>(F3-E3)/E3</f>
        <v>4.991077082493816E-2</v>
      </c>
      <c r="P3" s="291"/>
      <c r="Q3" s="291"/>
      <c r="R3" s="291"/>
    </row>
    <row r="4" spans="1:18" x14ac:dyDescent="0.2">
      <c r="A4" s="293"/>
      <c r="B4" s="293"/>
      <c r="C4" s="294"/>
      <c r="D4" s="295">
        <f t="shared" ref="D4:I4" si="0">D3*12</f>
        <v>41647.919999999998</v>
      </c>
      <c r="E4" s="295">
        <f t="shared" si="0"/>
        <v>43774.92</v>
      </c>
      <c r="F4" s="295">
        <f t="shared" si="0"/>
        <v>45959.76</v>
      </c>
      <c r="G4" s="295">
        <f t="shared" si="0"/>
        <v>48241.32</v>
      </c>
      <c r="H4" s="295">
        <f t="shared" si="0"/>
        <v>50677.440000000002</v>
      </c>
      <c r="I4" s="295">
        <f t="shared" si="0"/>
        <v>53229.600000000006</v>
      </c>
      <c r="J4" s="288" t="s">
        <v>529</v>
      </c>
      <c r="K4" s="289"/>
      <c r="L4" s="533" t="s">
        <v>1085</v>
      </c>
      <c r="M4" s="290" t="s">
        <v>461</v>
      </c>
      <c r="N4" s="291">
        <f>(F3-D3)/D3</f>
        <v>0.10353074055078866</v>
      </c>
      <c r="O4" s="296"/>
      <c r="P4" s="296"/>
      <c r="Q4" s="296"/>
      <c r="R4" s="296"/>
    </row>
    <row r="5" spans="1:18" x14ac:dyDescent="0.2">
      <c r="A5" s="293"/>
      <c r="B5" s="293"/>
      <c r="C5" s="288"/>
      <c r="D5" s="252">
        <f t="shared" ref="D5:I5" si="1">D4/2080</f>
        <v>20.023038461538462</v>
      </c>
      <c r="E5" s="252">
        <f t="shared" si="1"/>
        <v>21.045634615384614</v>
      </c>
      <c r="F5" s="252">
        <f t="shared" si="1"/>
        <v>22.096038461538463</v>
      </c>
      <c r="G5" s="252">
        <f t="shared" si="1"/>
        <v>23.192942307692306</v>
      </c>
      <c r="H5" s="252">
        <f t="shared" si="1"/>
        <v>24.364153846153847</v>
      </c>
      <c r="I5" s="252">
        <f t="shared" si="1"/>
        <v>25.591153846153848</v>
      </c>
      <c r="J5" s="288" t="s">
        <v>11</v>
      </c>
      <c r="K5" s="289"/>
      <c r="L5" s="289">
        <v>1.028</v>
      </c>
      <c r="M5" s="289"/>
    </row>
    <row r="6" spans="1:18" x14ac:dyDescent="0.2">
      <c r="A6" s="293"/>
      <c r="B6" s="293"/>
      <c r="C6" s="288"/>
      <c r="D6" s="252"/>
      <c r="E6" s="252"/>
      <c r="F6" s="252"/>
      <c r="G6" s="252"/>
      <c r="H6" s="252"/>
      <c r="I6" s="252"/>
      <c r="J6" s="288"/>
      <c r="K6" s="289"/>
      <c r="L6" s="289"/>
      <c r="M6" s="289"/>
    </row>
    <row r="7" spans="1:18" x14ac:dyDescent="0.2">
      <c r="A7" s="285" t="s">
        <v>407</v>
      </c>
      <c r="B7" s="285" t="s">
        <v>322</v>
      </c>
      <c r="C7" s="297" t="s">
        <v>811</v>
      </c>
      <c r="D7" s="287">
        <f>ROUND(3744.43*$L$5,2)</f>
        <v>3849.27</v>
      </c>
      <c r="E7" s="287">
        <f>ROUND(3933.41*$L$5,2)</f>
        <v>4043.55</v>
      </c>
      <c r="F7" s="287">
        <f>ROUND(4130.21*$L$5,2)</f>
        <v>4245.8599999999997</v>
      </c>
      <c r="G7" s="287">
        <f>ROUND(4337.43*$L$5,2)</f>
        <v>4458.88</v>
      </c>
      <c r="H7" s="287">
        <f>ROUND(4555.09*$L$5,2)</f>
        <v>4682.63</v>
      </c>
      <c r="I7" s="287">
        <f>ROUND(4783.17*$L$5,2)</f>
        <v>4917.1000000000004</v>
      </c>
      <c r="J7" s="288" t="s">
        <v>10</v>
      </c>
      <c r="K7" s="289"/>
      <c r="L7" s="289"/>
      <c r="M7" s="290" t="s">
        <v>460</v>
      </c>
      <c r="N7" s="291">
        <f>(E7-D7)/D7</f>
        <v>5.0471907660413588E-2</v>
      </c>
      <c r="O7" s="291">
        <f>(F7-E7)/E7</f>
        <v>5.0032768235832248E-2</v>
      </c>
      <c r="P7" s="291">
        <f>(G7-F7)/F7</f>
        <v>5.0171225617425083E-2</v>
      </c>
      <c r="Q7" s="291">
        <f>(H7-G7)/G7</f>
        <v>5.0180762882158746E-2</v>
      </c>
      <c r="R7" s="291">
        <f>(I7-H7)/H7</f>
        <v>5.0072288436199368E-2</v>
      </c>
    </row>
    <row r="8" spans="1:18" x14ac:dyDescent="0.2">
      <c r="A8" s="293"/>
      <c r="B8" s="285" t="s">
        <v>1086</v>
      </c>
      <c r="C8" s="286" t="s">
        <v>1087</v>
      </c>
      <c r="D8" s="295">
        <f t="shared" ref="D8:I8" si="2">+D7*12</f>
        <v>46191.24</v>
      </c>
      <c r="E8" s="295">
        <f t="shared" si="2"/>
        <v>48522.600000000006</v>
      </c>
      <c r="F8" s="295">
        <f t="shared" si="2"/>
        <v>50950.319999999992</v>
      </c>
      <c r="G8" s="295">
        <f t="shared" si="2"/>
        <v>53506.559999999998</v>
      </c>
      <c r="H8" s="295">
        <f t="shared" si="2"/>
        <v>56191.56</v>
      </c>
      <c r="I8" s="295">
        <f t="shared" si="2"/>
        <v>59005.200000000004</v>
      </c>
      <c r="J8" s="288" t="s">
        <v>529</v>
      </c>
      <c r="K8" s="289"/>
      <c r="L8" s="289"/>
      <c r="M8" s="290" t="s">
        <v>461</v>
      </c>
      <c r="N8" s="291">
        <f>(I7-D7)/D7</f>
        <v>0.27741104157411672</v>
      </c>
      <c r="O8" s="296"/>
      <c r="P8" s="296"/>
      <c r="Q8" s="296"/>
      <c r="R8" s="296"/>
    </row>
    <row r="9" spans="1:18" x14ac:dyDescent="0.2">
      <c r="A9" s="293"/>
      <c r="B9" s="293"/>
      <c r="C9" s="288"/>
      <c r="D9" s="252">
        <f t="shared" ref="D9:I9" si="3">D8/2080</f>
        <v>22.207326923076923</v>
      </c>
      <c r="E9" s="252">
        <f t="shared" si="3"/>
        <v>23.328173076923079</v>
      </c>
      <c r="F9" s="252">
        <f t="shared" si="3"/>
        <v>24.49534615384615</v>
      </c>
      <c r="G9" s="252">
        <f t="shared" si="3"/>
        <v>25.72430769230769</v>
      </c>
      <c r="H9" s="252">
        <f t="shared" si="3"/>
        <v>27.015173076923077</v>
      </c>
      <c r="I9" s="252">
        <f t="shared" si="3"/>
        <v>28.367884615384618</v>
      </c>
      <c r="J9" s="288" t="s">
        <v>11</v>
      </c>
      <c r="K9" s="289"/>
      <c r="L9" s="289"/>
      <c r="M9" s="289"/>
    </row>
    <row r="10" spans="1:18" x14ac:dyDescent="0.2">
      <c r="A10" s="293"/>
      <c r="B10" s="293"/>
      <c r="C10" s="288"/>
      <c r="D10" s="252"/>
      <c r="E10" s="252"/>
      <c r="F10" s="252"/>
      <c r="G10" s="252"/>
      <c r="H10" s="252"/>
      <c r="I10" s="252"/>
      <c r="J10" s="288"/>
      <c r="K10" s="289"/>
      <c r="L10" s="289"/>
      <c r="M10" s="289"/>
    </row>
    <row r="11" spans="1:18" x14ac:dyDescent="0.2">
      <c r="A11" s="285" t="s">
        <v>437</v>
      </c>
      <c r="B11" s="285" t="s">
        <v>525</v>
      </c>
      <c r="C11" s="299" t="s">
        <v>810</v>
      </c>
      <c r="D11" s="287">
        <f>ROUND(3932.4*$K$3,2)</f>
        <v>4003.18</v>
      </c>
      <c r="E11" s="287">
        <f>ROUND(4130.74*$K$3,2)</f>
        <v>4205.09</v>
      </c>
      <c r="F11" s="287">
        <f>ROUND(4337.01*$K$3,2)</f>
        <v>4415.08</v>
      </c>
      <c r="G11" s="287">
        <f>ROUND(4553.87*$K$3,2)</f>
        <v>4635.84</v>
      </c>
      <c r="H11" s="287">
        <f>ROUND(4782.62*$K$3,2)</f>
        <v>4868.71</v>
      </c>
      <c r="I11" s="287">
        <f>ROUND(5021.94*$K$3,2)</f>
        <v>5112.33</v>
      </c>
      <c r="J11" s="288" t="s">
        <v>10</v>
      </c>
      <c r="K11" s="289"/>
      <c r="L11" s="289"/>
      <c r="M11" s="290" t="s">
        <v>460</v>
      </c>
      <c r="N11" s="291">
        <f>(E11-D11)/D11</f>
        <v>5.0437402265199244E-2</v>
      </c>
      <c r="O11" s="291">
        <f>(F11-E11)/E11</f>
        <v>4.9937100038286879E-2</v>
      </c>
      <c r="P11" s="291">
        <f>(G11-F11)/F11</f>
        <v>5.0001358978772802E-2</v>
      </c>
      <c r="Q11" s="291">
        <f>(H11-G11)/G11</f>
        <v>5.0232536066818503E-2</v>
      </c>
      <c r="R11" s="291">
        <f>(I11-H11)/H11</f>
        <v>5.0037895048174956E-2</v>
      </c>
    </row>
    <row r="12" spans="1:18" x14ac:dyDescent="0.2">
      <c r="A12" s="293"/>
      <c r="B12" s="293"/>
      <c r="C12" s="288"/>
      <c r="D12" s="295">
        <f t="shared" ref="D12:I12" si="4">D11*12</f>
        <v>48038.159999999996</v>
      </c>
      <c r="E12" s="295">
        <f t="shared" si="4"/>
        <v>50461.08</v>
      </c>
      <c r="F12" s="295">
        <f t="shared" si="4"/>
        <v>52980.959999999999</v>
      </c>
      <c r="G12" s="295">
        <f t="shared" si="4"/>
        <v>55630.080000000002</v>
      </c>
      <c r="H12" s="295">
        <f t="shared" si="4"/>
        <v>58424.520000000004</v>
      </c>
      <c r="I12" s="295">
        <f t="shared" si="4"/>
        <v>61347.96</v>
      </c>
      <c r="J12" s="288" t="s">
        <v>529</v>
      </c>
      <c r="K12" s="289"/>
      <c r="L12" s="289"/>
      <c r="M12" s="290" t="s">
        <v>461</v>
      </c>
      <c r="N12" s="291">
        <f>(I11-D11)/D11</f>
        <v>0.27706723155091706</v>
      </c>
      <c r="O12" s="296"/>
      <c r="P12" s="296"/>
      <c r="Q12" s="296"/>
      <c r="R12" s="296"/>
    </row>
    <row r="13" spans="1:18" x14ac:dyDescent="0.2">
      <c r="A13" s="293"/>
      <c r="B13" s="293"/>
      <c r="C13" s="288"/>
      <c r="D13" s="252">
        <f t="shared" ref="D13:I13" si="5">D12/2080</f>
        <v>23.09526923076923</v>
      </c>
      <c r="E13" s="252">
        <f t="shared" si="5"/>
        <v>24.260134615384615</v>
      </c>
      <c r="F13" s="252">
        <f t="shared" si="5"/>
        <v>25.471615384615383</v>
      </c>
      <c r="G13" s="252">
        <f t="shared" si="5"/>
        <v>26.745230769230769</v>
      </c>
      <c r="H13" s="252">
        <f t="shared" si="5"/>
        <v>28.088711538461542</v>
      </c>
      <c r="I13" s="252">
        <f t="shared" si="5"/>
        <v>29.494211538461538</v>
      </c>
      <c r="J13" s="288" t="s">
        <v>11</v>
      </c>
      <c r="K13" s="289"/>
      <c r="L13" s="289"/>
      <c r="M13" s="289"/>
    </row>
    <row r="14" spans="1:18" x14ac:dyDescent="0.2">
      <c r="A14" s="293"/>
      <c r="B14" s="293"/>
      <c r="C14" s="300"/>
      <c r="D14" s="252"/>
      <c r="E14" s="252"/>
      <c r="F14" s="252"/>
      <c r="G14" s="252"/>
      <c r="H14" s="252"/>
      <c r="I14" s="252"/>
      <c r="J14" s="288"/>
      <c r="K14" s="289"/>
      <c r="L14" s="289"/>
      <c r="M14" s="289"/>
    </row>
    <row r="15" spans="1:18" x14ac:dyDescent="0.2">
      <c r="A15" s="532" t="s">
        <v>516</v>
      </c>
      <c r="B15" s="532" t="s">
        <v>922</v>
      </c>
      <c r="C15" s="286" t="s">
        <v>923</v>
      </c>
      <c r="D15" s="287">
        <f>ROUND(4025.42*$K$3,2)</f>
        <v>4097.88</v>
      </c>
      <c r="E15" s="287">
        <f>ROUND(4226.12*$K$3,2)</f>
        <v>4302.1899999999996</v>
      </c>
      <c r="F15" s="287">
        <f>ROUND(4438.31*$K$3,2)</f>
        <v>4518.2</v>
      </c>
      <c r="G15" s="287">
        <f>ROUND(4659.47*$K$3,2)</f>
        <v>4743.34</v>
      </c>
      <c r="H15" s="287">
        <f>ROUND(4893.4*$K$3,2)</f>
        <v>4981.4799999999996</v>
      </c>
      <c r="I15" s="287">
        <f>ROUND(5137.55*$K$3,2)</f>
        <v>5230.03</v>
      </c>
      <c r="J15" s="288" t="s">
        <v>10</v>
      </c>
      <c r="K15" s="289"/>
      <c r="L15" s="289"/>
      <c r="M15" s="290" t="s">
        <v>460</v>
      </c>
      <c r="N15" s="291">
        <f>(E15-D15)/D15</f>
        <v>4.9857487286108788E-2</v>
      </c>
      <c r="O15" s="291">
        <f>(F15-E15)/E15</f>
        <v>5.0209312001562048E-2</v>
      </c>
      <c r="P15" s="291">
        <f>(G15-F15)/F15</f>
        <v>4.9829578150591018E-2</v>
      </c>
      <c r="Q15" s="291">
        <f>(H15-G15)/G15</f>
        <v>5.0205129718721285E-2</v>
      </c>
      <c r="R15" s="291">
        <f>(I15-H15)/H15</f>
        <v>4.9894810377638814E-2</v>
      </c>
    </row>
    <row r="16" spans="1:18" x14ac:dyDescent="0.2">
      <c r="D16" s="295">
        <f t="shared" ref="D16:H16" si="6">D15*12</f>
        <v>49174.559999999998</v>
      </c>
      <c r="E16" s="295">
        <f t="shared" si="6"/>
        <v>51626.28</v>
      </c>
      <c r="F16" s="295">
        <f t="shared" si="6"/>
        <v>54218.399999999994</v>
      </c>
      <c r="G16" s="295">
        <f t="shared" si="6"/>
        <v>56920.08</v>
      </c>
      <c r="H16" s="295">
        <f t="shared" si="6"/>
        <v>59777.759999999995</v>
      </c>
      <c r="I16" s="295">
        <f>I15*12</f>
        <v>62760.36</v>
      </c>
      <c r="J16" s="288" t="s">
        <v>529</v>
      </c>
      <c r="K16" s="289"/>
      <c r="L16" s="289"/>
      <c r="M16" s="290" t="s">
        <v>461</v>
      </c>
      <c r="N16" s="291">
        <f>(I15-D15)/D15</f>
        <v>0.27627700176676712</v>
      </c>
      <c r="O16" s="296"/>
      <c r="P16" s="296"/>
      <c r="Q16" s="296"/>
      <c r="R16" s="296"/>
    </row>
    <row r="17" spans="1:18" x14ac:dyDescent="0.2">
      <c r="C17" s="298"/>
      <c r="D17" s="252">
        <f t="shared" ref="D17:I17" si="7">D16/2080</f>
        <v>23.641615384615385</v>
      </c>
      <c r="E17" s="252">
        <f t="shared" si="7"/>
        <v>24.820326923076923</v>
      </c>
      <c r="F17" s="252">
        <f t="shared" si="7"/>
        <v>26.06653846153846</v>
      </c>
      <c r="G17" s="252">
        <f t="shared" si="7"/>
        <v>27.365423076923079</v>
      </c>
      <c r="H17" s="252">
        <f t="shared" si="7"/>
        <v>28.73930769230769</v>
      </c>
      <c r="I17" s="252">
        <f t="shared" si="7"/>
        <v>30.173249999999999</v>
      </c>
      <c r="J17" s="288" t="s">
        <v>11</v>
      </c>
      <c r="K17" s="289"/>
      <c r="L17" s="289"/>
    </row>
    <row r="18" spans="1:18" x14ac:dyDescent="0.2">
      <c r="C18" s="298"/>
      <c r="D18" s="252"/>
      <c r="E18" s="252"/>
      <c r="F18" s="252"/>
      <c r="G18" s="252"/>
      <c r="H18" s="252"/>
      <c r="I18" s="252"/>
      <c r="J18" s="288"/>
      <c r="K18" s="289"/>
      <c r="L18" s="289"/>
    </row>
    <row r="19" spans="1:18" x14ac:dyDescent="0.2">
      <c r="A19" s="285" t="s">
        <v>438</v>
      </c>
      <c r="B19" s="285" t="s">
        <v>1088</v>
      </c>
      <c r="C19" s="288" t="s">
        <v>1089</v>
      </c>
      <c r="D19" s="287">
        <f>ROUND(3915.84*$L$3,2)</f>
        <v>4103.8</v>
      </c>
      <c r="E19" s="287">
        <f>ROUND(4111.12*$L$3,2)</f>
        <v>4308.45</v>
      </c>
      <c r="F19" s="287">
        <f>ROUND(4315.23*$L$3,2)</f>
        <v>4522.3599999999997</v>
      </c>
      <c r="G19" s="287">
        <f>ROUND(4530.68*$L$3,2)</f>
        <v>4748.1499999999996</v>
      </c>
      <c r="H19" s="287">
        <f>ROUND(4759.98*$L$3,2)</f>
        <v>4988.46</v>
      </c>
      <c r="I19" s="287">
        <f>ROUND(4996.85*$L$3,2)</f>
        <v>5236.7</v>
      </c>
      <c r="J19" s="288" t="s">
        <v>10</v>
      </c>
      <c r="K19" s="289"/>
      <c r="L19" s="289"/>
      <c r="M19" s="290" t="s">
        <v>460</v>
      </c>
      <c r="N19" s="291">
        <f>(E19-D19)/D19</f>
        <v>4.9868414640089585E-2</v>
      </c>
      <c r="O19" s="291">
        <f>(F19-E19)/E19</f>
        <v>4.9648945676519368E-2</v>
      </c>
      <c r="P19" s="291">
        <f>(G19-F19)/F19</f>
        <v>4.9927471497182879E-2</v>
      </c>
      <c r="Q19" s="291">
        <f>(H19-G19)/G19</f>
        <v>5.0611290713225239E-2</v>
      </c>
      <c r="R19" s="291">
        <f>(I19-H19)/H19</f>
        <v>4.9762852663948351E-2</v>
      </c>
    </row>
    <row r="20" spans="1:18" x14ac:dyDescent="0.2">
      <c r="A20" s="293"/>
      <c r="C20" s="298"/>
      <c r="D20" s="295">
        <f t="shared" ref="D20:I20" si="8">D19*12</f>
        <v>49245.600000000006</v>
      </c>
      <c r="E20" s="295">
        <f t="shared" si="8"/>
        <v>51701.399999999994</v>
      </c>
      <c r="F20" s="295">
        <f t="shared" si="8"/>
        <v>54268.319999999992</v>
      </c>
      <c r="G20" s="295">
        <f t="shared" si="8"/>
        <v>56977.799999999996</v>
      </c>
      <c r="H20" s="295">
        <f t="shared" si="8"/>
        <v>59861.520000000004</v>
      </c>
      <c r="I20" s="295">
        <f t="shared" si="8"/>
        <v>62840.399999999994</v>
      </c>
      <c r="J20" s="288" t="s">
        <v>529</v>
      </c>
      <c r="K20" s="289"/>
      <c r="L20" s="289"/>
      <c r="M20" s="290" t="s">
        <v>461</v>
      </c>
      <c r="N20" s="291">
        <f>(I19-D19)/D19</f>
        <v>0.27606121156001745</v>
      </c>
      <c r="O20" s="296"/>
      <c r="P20" s="296"/>
      <c r="Q20" s="296"/>
      <c r="R20" s="296"/>
    </row>
    <row r="21" spans="1:18" x14ac:dyDescent="0.2">
      <c r="A21" s="293"/>
      <c r="B21" s="285"/>
      <c r="C21" s="288"/>
      <c r="D21" s="252">
        <f t="shared" ref="D21:I21" si="9">D20/2080</f>
        <v>23.675769230769234</v>
      </c>
      <c r="E21" s="252">
        <f t="shared" si="9"/>
        <v>24.856442307692305</v>
      </c>
      <c r="F21" s="252">
        <f t="shared" si="9"/>
        <v>26.090538461538458</v>
      </c>
      <c r="G21" s="252">
        <f t="shared" si="9"/>
        <v>27.393173076923073</v>
      </c>
      <c r="H21" s="252">
        <f t="shared" si="9"/>
        <v>28.779576923076924</v>
      </c>
      <c r="I21" s="252">
        <f t="shared" si="9"/>
        <v>30.211730769230766</v>
      </c>
      <c r="J21" s="288" t="s">
        <v>11</v>
      </c>
      <c r="K21" s="289"/>
      <c r="L21" s="289"/>
      <c r="M21" s="289"/>
    </row>
    <row r="22" spans="1:18" x14ac:dyDescent="0.2">
      <c r="A22" s="293"/>
      <c r="B22" s="285"/>
      <c r="C22" s="288"/>
      <c r="D22" s="252"/>
      <c r="E22" s="252"/>
      <c r="F22" s="252"/>
      <c r="G22" s="252"/>
      <c r="H22" s="252"/>
      <c r="I22" s="252"/>
      <c r="J22" s="288"/>
      <c r="K22" s="289"/>
      <c r="L22" s="289"/>
      <c r="M22" s="289"/>
    </row>
    <row r="23" spans="1:18" x14ac:dyDescent="0.2">
      <c r="A23" s="285" t="s">
        <v>522</v>
      </c>
      <c r="B23" s="285" t="s">
        <v>324</v>
      </c>
      <c r="C23" s="288" t="s">
        <v>12</v>
      </c>
      <c r="D23" s="287">
        <f>ROUND(4074.06*$K$3,2)</f>
        <v>4147.3900000000003</v>
      </c>
      <c r="E23" s="287">
        <f>ROUND(4274.83*$K$3,2)</f>
        <v>4351.78</v>
      </c>
      <c r="F23" s="287">
        <f>ROUND(4488.32*$K$3,2)</f>
        <v>4569.1099999999997</v>
      </c>
      <c r="G23" s="287">
        <f>ROUND(4713.25*$K$3,2)</f>
        <v>4798.09</v>
      </c>
      <c r="H23" s="287">
        <f>ROUND(4952.16*$K$3,2)</f>
        <v>5041.3</v>
      </c>
      <c r="I23" s="287">
        <f>ROUND(5184.7*$K$3,2)</f>
        <v>5278.02</v>
      </c>
      <c r="J23" s="288" t="s">
        <v>10</v>
      </c>
      <c r="K23" s="289"/>
      <c r="L23" s="289"/>
      <c r="M23" s="290" t="s">
        <v>460</v>
      </c>
      <c r="N23" s="291"/>
      <c r="O23" s="291"/>
      <c r="P23" s="291"/>
      <c r="Q23" s="291"/>
      <c r="R23" s="291"/>
    </row>
    <row r="24" spans="1:18" x14ac:dyDescent="0.2">
      <c r="A24" s="293"/>
      <c r="B24" s="285"/>
      <c r="C24" s="288"/>
      <c r="D24" s="295">
        <f t="shared" ref="D24:I24" si="10">D23*12</f>
        <v>49768.680000000008</v>
      </c>
      <c r="E24" s="295">
        <f t="shared" si="10"/>
        <v>52221.36</v>
      </c>
      <c r="F24" s="295">
        <f t="shared" si="10"/>
        <v>54829.319999999992</v>
      </c>
      <c r="G24" s="295">
        <f t="shared" si="10"/>
        <v>57577.08</v>
      </c>
      <c r="H24" s="295">
        <f t="shared" si="10"/>
        <v>60495.600000000006</v>
      </c>
      <c r="I24" s="295">
        <f t="shared" si="10"/>
        <v>63336.240000000005</v>
      </c>
      <c r="J24" s="288" t="s">
        <v>529</v>
      </c>
      <c r="K24" s="289"/>
      <c r="L24" s="289"/>
      <c r="M24" s="290" t="s">
        <v>461</v>
      </c>
      <c r="N24" s="291"/>
      <c r="O24" s="296"/>
      <c r="P24" s="296"/>
      <c r="Q24" s="296"/>
      <c r="R24" s="296"/>
    </row>
    <row r="25" spans="1:18" x14ac:dyDescent="0.2">
      <c r="A25" s="293"/>
      <c r="B25" s="285"/>
      <c r="C25" s="288"/>
      <c r="D25" s="301">
        <f t="shared" ref="D25:I25" si="11">D24/2080</f>
        <v>23.927250000000004</v>
      </c>
      <c r="E25" s="301">
        <f t="shared" si="11"/>
        <v>25.106423076923079</v>
      </c>
      <c r="F25" s="301">
        <f t="shared" si="11"/>
        <v>26.360249999999997</v>
      </c>
      <c r="G25" s="301">
        <f t="shared" si="11"/>
        <v>27.681288461538461</v>
      </c>
      <c r="H25" s="301">
        <f t="shared" si="11"/>
        <v>29.08442307692308</v>
      </c>
      <c r="I25" s="301">
        <f t="shared" si="11"/>
        <v>30.450115384615387</v>
      </c>
      <c r="J25" s="288" t="s">
        <v>11</v>
      </c>
      <c r="K25" s="289"/>
      <c r="L25" s="289"/>
      <c r="M25" s="289"/>
    </row>
    <row r="26" spans="1:18" x14ac:dyDescent="0.2">
      <c r="A26" s="293"/>
      <c r="B26" s="285"/>
      <c r="C26" s="288"/>
      <c r="D26" s="301"/>
      <c r="E26" s="301"/>
      <c r="F26" s="301"/>
      <c r="G26" s="301"/>
      <c r="H26" s="301"/>
      <c r="I26" s="301"/>
      <c r="J26" s="288"/>
      <c r="K26" s="289"/>
      <c r="L26" s="289"/>
      <c r="M26" s="289"/>
    </row>
    <row r="27" spans="1:18" x14ac:dyDescent="0.2">
      <c r="A27" s="285" t="s">
        <v>408</v>
      </c>
      <c r="B27" s="285" t="s">
        <v>326</v>
      </c>
      <c r="C27" s="294" t="s">
        <v>812</v>
      </c>
      <c r="D27" s="287"/>
      <c r="E27" s="287"/>
      <c r="F27" s="287"/>
      <c r="G27" s="287"/>
      <c r="H27" s="287"/>
      <c r="I27" s="287">
        <f>ROUND(I7*1.125,2)</f>
        <v>5531.74</v>
      </c>
      <c r="J27" s="288" t="s">
        <v>10</v>
      </c>
      <c r="K27" s="289"/>
      <c r="L27" s="289"/>
      <c r="M27" s="290" t="s">
        <v>460</v>
      </c>
      <c r="N27" s="291"/>
      <c r="O27" s="291"/>
      <c r="P27" s="291"/>
      <c r="Q27" s="291"/>
      <c r="R27" s="291"/>
    </row>
    <row r="28" spans="1:18" x14ac:dyDescent="0.2">
      <c r="A28" s="293"/>
      <c r="B28" s="285"/>
      <c r="C28" s="288"/>
      <c r="D28" s="287"/>
      <c r="E28" s="287"/>
      <c r="F28" s="287"/>
      <c r="G28" s="287"/>
      <c r="H28" s="287"/>
      <c r="I28" s="295">
        <f>I27*12</f>
        <v>66380.88</v>
      </c>
      <c r="J28" s="288" t="s">
        <v>529</v>
      </c>
      <c r="K28" s="289"/>
      <c r="L28" s="289"/>
      <c r="M28" s="290" t="s">
        <v>461</v>
      </c>
      <c r="N28" s="291"/>
      <c r="O28" s="296"/>
      <c r="P28" s="296"/>
      <c r="Q28" s="296"/>
      <c r="R28" s="296"/>
    </row>
    <row r="29" spans="1:18" x14ac:dyDescent="0.2">
      <c r="A29" s="293"/>
      <c r="B29" s="285"/>
      <c r="C29" s="288"/>
      <c r="D29" s="287"/>
      <c r="E29" s="287"/>
      <c r="F29" s="287"/>
      <c r="G29" s="287"/>
      <c r="H29" s="287"/>
      <c r="I29" s="301">
        <f>I28/2080</f>
        <v>31.913884615384617</v>
      </c>
      <c r="J29" s="288" t="s">
        <v>11</v>
      </c>
      <c r="K29" s="289"/>
      <c r="L29" s="289"/>
      <c r="M29" s="289"/>
    </row>
    <row r="30" spans="1:18" x14ac:dyDescent="0.2">
      <c r="A30" s="293"/>
      <c r="B30" s="285"/>
      <c r="C30" s="288"/>
      <c r="D30" s="301"/>
      <c r="E30" s="301"/>
      <c r="F30" s="301"/>
      <c r="G30" s="301"/>
      <c r="H30" s="301"/>
      <c r="I30" s="301"/>
      <c r="J30" s="288"/>
      <c r="K30" s="289"/>
      <c r="L30" s="289"/>
      <c r="M30" s="289"/>
    </row>
    <row r="31" spans="1:18" x14ac:dyDescent="0.2">
      <c r="A31" s="285" t="s">
        <v>999</v>
      </c>
      <c r="B31" s="285" t="s">
        <v>1000</v>
      </c>
      <c r="C31" s="288" t="s">
        <v>988</v>
      </c>
      <c r="D31" s="287">
        <f>ROUND(4492.38*$K$3,2)</f>
        <v>4573.24</v>
      </c>
      <c r="E31" s="287">
        <f>ROUND(4716.99*$K$3,2)</f>
        <v>4801.8999999999996</v>
      </c>
      <c r="F31" s="287">
        <f>ROUND(4952.84*$K$3,2)</f>
        <v>5041.99</v>
      </c>
      <c r="G31" s="287">
        <f>ROUND(5200.49*$K$3,2)</f>
        <v>5294.1</v>
      </c>
      <c r="H31" s="287">
        <f>ROUND(5460.51*$K$3,2)</f>
        <v>5558.8</v>
      </c>
      <c r="I31" s="287">
        <f>ROUND(5733.54*$K$3,2)</f>
        <v>5836.74</v>
      </c>
      <c r="J31" s="288" t="s">
        <v>10</v>
      </c>
      <c r="K31" s="289"/>
      <c r="L31" s="289"/>
      <c r="M31" s="290" t="s">
        <v>460</v>
      </c>
      <c r="N31" s="291">
        <f>(E31-D31)/D31</f>
        <v>4.9999562673290678E-2</v>
      </c>
      <c r="O31" s="291">
        <f>(F31-E31)/E31</f>
        <v>4.9998958745496605E-2</v>
      </c>
      <c r="P31" s="291">
        <f>(G31-F31)/F31</f>
        <v>5.0002082511072132E-2</v>
      </c>
      <c r="Q31" s="291">
        <f>(H31-G31)/G31</f>
        <v>4.9999055552407357E-2</v>
      </c>
      <c r="R31" s="291">
        <f>(I31-H31)/H31</f>
        <v>4.9999999999999926E-2</v>
      </c>
    </row>
    <row r="32" spans="1:18" x14ac:dyDescent="0.2">
      <c r="A32" s="293"/>
      <c r="B32" s="285" t="s">
        <v>998</v>
      </c>
      <c r="C32" s="300" t="s">
        <v>1090</v>
      </c>
      <c r="D32" s="295">
        <f t="shared" ref="D32:I32" si="12">D31*12</f>
        <v>54878.879999999997</v>
      </c>
      <c r="E32" s="295">
        <f t="shared" si="12"/>
        <v>57622.799999999996</v>
      </c>
      <c r="F32" s="295">
        <f t="shared" si="12"/>
        <v>60503.88</v>
      </c>
      <c r="G32" s="295">
        <f t="shared" si="12"/>
        <v>63529.200000000004</v>
      </c>
      <c r="H32" s="295">
        <f t="shared" si="12"/>
        <v>66705.600000000006</v>
      </c>
      <c r="I32" s="295">
        <f t="shared" si="12"/>
        <v>70040.88</v>
      </c>
      <c r="J32" s="288" t="s">
        <v>529</v>
      </c>
      <c r="K32" s="289"/>
      <c r="L32" s="289"/>
      <c r="M32" s="290" t="s">
        <v>461</v>
      </c>
      <c r="N32" s="291">
        <f>(I31-D31)/D31</f>
        <v>0.2762811485948693</v>
      </c>
      <c r="O32" s="296"/>
      <c r="P32" s="296"/>
      <c r="Q32" s="296"/>
      <c r="R32" s="296"/>
    </row>
    <row r="33" spans="1:18" x14ac:dyDescent="0.2">
      <c r="A33" s="293"/>
      <c r="B33" s="293"/>
      <c r="C33" s="288"/>
      <c r="D33" s="301">
        <f t="shared" ref="D33:I33" si="13">D32/2080</f>
        <v>26.384076923076922</v>
      </c>
      <c r="E33" s="301">
        <f t="shared" si="13"/>
        <v>27.70326923076923</v>
      </c>
      <c r="F33" s="301">
        <f t="shared" si="13"/>
        <v>29.088403846153845</v>
      </c>
      <c r="G33" s="301">
        <f t="shared" si="13"/>
        <v>30.542884615384619</v>
      </c>
      <c r="H33" s="301">
        <f t="shared" si="13"/>
        <v>32.07</v>
      </c>
      <c r="I33" s="301">
        <f t="shared" si="13"/>
        <v>33.673500000000004</v>
      </c>
      <c r="J33" s="288" t="s">
        <v>11</v>
      </c>
      <c r="K33" s="289"/>
      <c r="L33" s="289"/>
      <c r="M33" s="289"/>
    </row>
    <row r="34" spans="1:18" x14ac:dyDescent="0.2">
      <c r="C34" s="298"/>
      <c r="J34" s="298"/>
    </row>
    <row r="35" spans="1:18" x14ac:dyDescent="0.2">
      <c r="A35" s="285" t="s">
        <v>440</v>
      </c>
      <c r="B35" s="285" t="s">
        <v>443</v>
      </c>
      <c r="C35" s="288" t="s">
        <v>916</v>
      </c>
      <c r="D35" s="287">
        <f>ROUND(4911.2*$K$3,2)</f>
        <v>4999.6000000000004</v>
      </c>
      <c r="E35" s="287">
        <f>ROUND(5156.95*$K$3,2)</f>
        <v>5249.78</v>
      </c>
      <c r="F35" s="287">
        <f>ROUND(5415.16*$K$3,2)</f>
        <v>5512.63</v>
      </c>
      <c r="G35" s="287">
        <f>ROUND(5687.11*$K$3,2)</f>
        <v>5789.48</v>
      </c>
      <c r="H35" s="287">
        <f>ROUND(5970.28*$K$3,2)</f>
        <v>6077.75</v>
      </c>
      <c r="I35" s="287">
        <f>ROUND(6267.17*$K$3,2)</f>
        <v>6379.98</v>
      </c>
      <c r="J35" s="288" t="s">
        <v>10</v>
      </c>
      <c r="K35" s="289"/>
      <c r="L35" s="289"/>
      <c r="M35" s="290" t="s">
        <v>460</v>
      </c>
      <c r="N35" s="291">
        <f>(E35-D35)/D35</f>
        <v>5.0040003200255895E-2</v>
      </c>
      <c r="O35" s="291">
        <f>(F35-E35)/E35</f>
        <v>5.0068764786333972E-2</v>
      </c>
      <c r="P35" s="291">
        <f>(G35-F35)/F35</f>
        <v>5.0221037871215637E-2</v>
      </c>
      <c r="Q35" s="291">
        <f>(H35-G35)/G35</f>
        <v>4.9792036590505614E-2</v>
      </c>
      <c r="R35" s="291">
        <f>(I35-H35)/H35</f>
        <v>4.9727283945538985E-2</v>
      </c>
    </row>
    <row r="36" spans="1:18" x14ac:dyDescent="0.2">
      <c r="A36" s="293"/>
      <c r="B36" s="298"/>
      <c r="C36" s="298"/>
      <c r="D36" s="295">
        <f t="shared" ref="D36:I36" si="14">D35*12</f>
        <v>59995.200000000004</v>
      </c>
      <c r="E36" s="295">
        <f t="shared" si="14"/>
        <v>62997.36</v>
      </c>
      <c r="F36" s="295">
        <f t="shared" si="14"/>
        <v>66151.56</v>
      </c>
      <c r="G36" s="295">
        <f t="shared" si="14"/>
        <v>69473.759999999995</v>
      </c>
      <c r="H36" s="295">
        <f t="shared" si="14"/>
        <v>72933</v>
      </c>
      <c r="I36" s="295">
        <f t="shared" si="14"/>
        <v>76559.759999999995</v>
      </c>
      <c r="J36" s="288" t="s">
        <v>529</v>
      </c>
      <c r="K36" s="289"/>
      <c r="L36" s="289"/>
      <c r="M36" s="290" t="s">
        <v>461</v>
      </c>
      <c r="N36" s="291">
        <f>(I35-D35)/D35</f>
        <v>0.27609808784702761</v>
      </c>
      <c r="O36" s="296"/>
      <c r="P36" s="296"/>
      <c r="Q36" s="296"/>
      <c r="R36" s="296"/>
    </row>
    <row r="37" spans="1:18" x14ac:dyDescent="0.2">
      <c r="A37" s="293"/>
      <c r="B37" s="293"/>
      <c r="C37" s="288"/>
      <c r="D37" s="301">
        <f t="shared" ref="D37:I37" si="15">D36/2080</f>
        <v>28.843846153846155</v>
      </c>
      <c r="E37" s="301">
        <f t="shared" si="15"/>
        <v>30.287192307692308</v>
      </c>
      <c r="F37" s="301">
        <f t="shared" si="15"/>
        <v>31.803634615384613</v>
      </c>
      <c r="G37" s="301">
        <f t="shared" si="15"/>
        <v>33.400846153846153</v>
      </c>
      <c r="H37" s="301">
        <f t="shared" si="15"/>
        <v>35.063942307692308</v>
      </c>
      <c r="I37" s="301">
        <f t="shared" si="15"/>
        <v>36.807576923076923</v>
      </c>
      <c r="J37" s="288" t="s">
        <v>11</v>
      </c>
      <c r="K37" s="289"/>
      <c r="L37" s="289"/>
      <c r="M37" s="289"/>
    </row>
    <row r="38" spans="1:18" x14ac:dyDescent="0.2">
      <c r="C38" s="298"/>
      <c r="J38" s="298"/>
    </row>
    <row r="39" spans="1:18" ht="14.25" customHeight="1" x14ac:dyDescent="0.2">
      <c r="A39" s="532" t="s">
        <v>938</v>
      </c>
      <c r="B39" s="532" t="s">
        <v>939</v>
      </c>
      <c r="C39" s="298" t="s">
        <v>940</v>
      </c>
      <c r="D39" s="303">
        <f>ROUND(5287.76*$K$3,2)</f>
        <v>5382.94</v>
      </c>
      <c r="E39" s="303">
        <f>ROUND(5552.15*$K$3,2)</f>
        <v>5652.09</v>
      </c>
      <c r="F39" s="303">
        <f>ROUND(5829.76*$K$3,2)</f>
        <v>5934.7</v>
      </c>
      <c r="G39" s="303">
        <f>ROUND(6121.24*$K$3,2)</f>
        <v>6231.42</v>
      </c>
      <c r="H39" s="303">
        <f>ROUND(6427.31*$K$3,2)</f>
        <v>6543</v>
      </c>
      <c r="I39" s="303">
        <f>ROUND(6748.67*$K$3,2)</f>
        <v>6870.15</v>
      </c>
      <c r="J39" s="288" t="s">
        <v>10</v>
      </c>
    </row>
    <row r="40" spans="1:18" ht="14.25" customHeight="1" x14ac:dyDescent="0.2">
      <c r="C40" s="298"/>
      <c r="D40" s="303">
        <f t="shared" ref="D40:I40" si="16">D39*12</f>
        <v>64595.28</v>
      </c>
      <c r="E40" s="303">
        <f t="shared" si="16"/>
        <v>67825.08</v>
      </c>
      <c r="F40" s="303">
        <f t="shared" si="16"/>
        <v>71216.399999999994</v>
      </c>
      <c r="G40" s="303">
        <f t="shared" si="16"/>
        <v>74777.040000000008</v>
      </c>
      <c r="H40" s="303">
        <f t="shared" si="16"/>
        <v>78516</v>
      </c>
      <c r="I40" s="303">
        <f t="shared" si="16"/>
        <v>82441.799999999988</v>
      </c>
      <c r="J40" s="288" t="s">
        <v>529</v>
      </c>
    </row>
    <row r="41" spans="1:18" ht="14.25" customHeight="1" x14ac:dyDescent="0.2">
      <c r="C41" s="298"/>
      <c r="D41" s="303">
        <f t="shared" ref="D41:I41" si="17">D40/2080</f>
        <v>31.055423076923077</v>
      </c>
      <c r="E41" s="303">
        <f t="shared" si="17"/>
        <v>32.608211538461539</v>
      </c>
      <c r="F41" s="303">
        <f t="shared" si="17"/>
        <v>34.238653846153845</v>
      </c>
      <c r="G41" s="303">
        <f t="shared" si="17"/>
        <v>35.950500000000005</v>
      </c>
      <c r="H41" s="303">
        <f t="shared" si="17"/>
        <v>37.748076923076923</v>
      </c>
      <c r="I41" s="303">
        <f t="shared" si="17"/>
        <v>39.63548076923076</v>
      </c>
      <c r="J41" s="288" t="s">
        <v>11</v>
      </c>
    </row>
    <row r="42" spans="1:18" x14ac:dyDescent="0.2">
      <c r="C42" s="298"/>
      <c r="J42" s="288"/>
    </row>
    <row r="43" spans="1:18" x14ac:dyDescent="0.2">
      <c r="A43" s="285" t="s">
        <v>441</v>
      </c>
      <c r="B43" s="285" t="s">
        <v>1091</v>
      </c>
      <c r="C43" s="294" t="s">
        <v>1094</v>
      </c>
      <c r="D43" s="287">
        <f>ROUND(5571.09*$K$3,2)</f>
        <v>5671.37</v>
      </c>
      <c r="E43" s="287">
        <f>ROUND(5849.66*$K$3,2)</f>
        <v>5954.95</v>
      </c>
      <c r="F43" s="287">
        <f>ROUND(6140.87*$K$3,2)</f>
        <v>6251.41</v>
      </c>
      <c r="G43" s="287">
        <f>ROUND(6447.28*$K$3,2)</f>
        <v>6563.33</v>
      </c>
      <c r="H43" s="287">
        <f>ROUND(6771.42*$K$3,2)</f>
        <v>6893.31</v>
      </c>
      <c r="I43" s="287">
        <f>ROUND(7109.48*$K$3,2)</f>
        <v>7237.45</v>
      </c>
      <c r="J43" s="288" t="s">
        <v>10</v>
      </c>
      <c r="K43" s="289"/>
      <c r="L43" s="289"/>
      <c r="M43" s="290" t="s">
        <v>460</v>
      </c>
      <c r="N43" s="291">
        <f>(E43-D43)/D43</f>
        <v>5.0002027728749829E-2</v>
      </c>
      <c r="O43" s="291">
        <f>(F43-E43)/E43</f>
        <v>4.9783793314805334E-2</v>
      </c>
      <c r="P43" s="291">
        <f>(G43-F43)/F43</f>
        <v>4.989594347515202E-2</v>
      </c>
      <c r="Q43" s="291">
        <f>(H43-G43)/G43</f>
        <v>5.0276307910770979E-2</v>
      </c>
      <c r="R43" s="291">
        <f>(I43-H43)/H43</f>
        <v>4.9923766666521513E-2</v>
      </c>
    </row>
    <row r="44" spans="1:18" x14ac:dyDescent="0.2">
      <c r="A44" s="293"/>
      <c r="C44" s="298"/>
      <c r="D44" s="295">
        <f t="shared" ref="D44:I44" si="18">D43*12</f>
        <v>68056.44</v>
      </c>
      <c r="E44" s="295">
        <f t="shared" si="18"/>
        <v>71459.399999999994</v>
      </c>
      <c r="F44" s="295">
        <f t="shared" si="18"/>
        <v>75016.92</v>
      </c>
      <c r="G44" s="295">
        <f t="shared" si="18"/>
        <v>78759.959999999992</v>
      </c>
      <c r="H44" s="295">
        <f t="shared" si="18"/>
        <v>82719.72</v>
      </c>
      <c r="I44" s="295">
        <f t="shared" si="18"/>
        <v>86849.4</v>
      </c>
      <c r="J44" s="288" t="s">
        <v>529</v>
      </c>
      <c r="K44" s="289"/>
      <c r="L44" s="289"/>
      <c r="M44" s="290" t="s">
        <v>461</v>
      </c>
      <c r="N44" s="291">
        <f>(I43-D43)/D43</f>
        <v>0.27613786439608068</v>
      </c>
      <c r="O44" s="296"/>
      <c r="P44" s="296"/>
      <c r="Q44" s="296"/>
      <c r="R44" s="296"/>
    </row>
    <row r="45" spans="1:18" x14ac:dyDescent="0.2">
      <c r="A45" s="293"/>
      <c r="C45" s="298"/>
      <c r="D45" s="301">
        <f t="shared" ref="D45:I45" si="19">D44/2080</f>
        <v>32.719442307692312</v>
      </c>
      <c r="E45" s="301">
        <f t="shared" si="19"/>
        <v>34.355480769230766</v>
      </c>
      <c r="F45" s="301">
        <f t="shared" si="19"/>
        <v>36.065826923076919</v>
      </c>
      <c r="G45" s="301">
        <f t="shared" si="19"/>
        <v>37.86536538461538</v>
      </c>
      <c r="H45" s="301">
        <f t="shared" si="19"/>
        <v>39.769096153846156</v>
      </c>
      <c r="I45" s="301">
        <f t="shared" si="19"/>
        <v>41.754519230769226</v>
      </c>
      <c r="J45" s="288" t="s">
        <v>11</v>
      </c>
      <c r="K45" s="289"/>
      <c r="L45" s="289"/>
      <c r="M45" s="289"/>
    </row>
    <row r="46" spans="1:18" s="298" customFormat="1" ht="30.75" customHeight="1" x14ac:dyDescent="0.2">
      <c r="A46" s="558" t="s">
        <v>1092</v>
      </c>
      <c r="B46" s="558"/>
      <c r="C46" s="558"/>
      <c r="D46" s="558"/>
      <c r="E46" s="558"/>
      <c r="F46" s="558"/>
      <c r="G46" s="558"/>
      <c r="H46" s="558"/>
      <c r="I46" s="558"/>
      <c r="J46" s="558"/>
    </row>
    <row r="47" spans="1:18" s="298" customFormat="1" x14ac:dyDescent="0.2">
      <c r="A47" s="532"/>
      <c r="B47" s="532"/>
      <c r="D47" s="302"/>
      <c r="E47" s="302"/>
      <c r="F47" s="302"/>
      <c r="G47" s="302"/>
      <c r="H47" s="302"/>
      <c r="I47" s="302"/>
    </row>
    <row r="49" spans="1:18" x14ac:dyDescent="0.2">
      <c r="A49" s="285" t="s">
        <v>485</v>
      </c>
      <c r="D49" s="287">
        <f>3273.58136087472*1.0243</f>
        <v>3353.1293879439754</v>
      </c>
      <c r="E49" s="287">
        <f>3439.40481623844*1.0243</f>
        <v>3522.9823532730343</v>
      </c>
      <c r="F49" s="287">
        <f>3611.37963907455*1.0243</f>
        <v>3699.1361643040618</v>
      </c>
      <c r="G49" s="287">
        <f>3793.17144873345*1.0243</f>
        <v>3885.3455149376728</v>
      </c>
      <c r="H49" s="287">
        <f>3982.34031733503*1.0243</f>
        <v>4079.111187046271</v>
      </c>
      <c r="I49" s="287">
        <f>4232.93122017675*1.0243</f>
        <v>4335.7914488270444</v>
      </c>
      <c r="J49" s="288" t="s">
        <v>10</v>
      </c>
      <c r="K49" s="289"/>
      <c r="L49" s="289"/>
      <c r="M49" s="290" t="s">
        <v>460</v>
      </c>
      <c r="N49" s="291">
        <f>(E49-D49)/D49</f>
        <v>5.0655058507362551E-2</v>
      </c>
      <c r="O49" s="291">
        <f>(F49-E49)/E49</f>
        <v>5.0001332214273359E-2</v>
      </c>
      <c r="P49" s="291"/>
      <c r="Q49" s="291"/>
      <c r="R49" s="291"/>
    </row>
    <row r="50" spans="1:18" x14ac:dyDescent="0.2">
      <c r="A50" s="293"/>
      <c r="B50" s="293"/>
      <c r="C50" s="294"/>
      <c r="D50" s="295">
        <f t="shared" ref="D50:I50" si="20">D49*12</f>
        <v>40237.552655327701</v>
      </c>
      <c r="E50" s="295">
        <f t="shared" si="20"/>
        <v>42275.788239276415</v>
      </c>
      <c r="F50" s="295">
        <f t="shared" si="20"/>
        <v>44389.633971648742</v>
      </c>
      <c r="G50" s="295">
        <f t="shared" si="20"/>
        <v>46624.146179252071</v>
      </c>
      <c r="H50" s="295">
        <f t="shared" si="20"/>
        <v>48949.334244555255</v>
      </c>
      <c r="I50" s="295">
        <f t="shared" si="20"/>
        <v>52029.497385924537</v>
      </c>
      <c r="J50" s="288" t="s">
        <v>529</v>
      </c>
      <c r="K50" s="289"/>
      <c r="L50" s="289"/>
      <c r="M50" s="290" t="s">
        <v>461</v>
      </c>
      <c r="N50" s="291">
        <f>(F49-D49)/D49</f>
        <v>0.103189211130396</v>
      </c>
      <c r="O50" s="296"/>
      <c r="P50" s="296"/>
      <c r="Q50" s="296"/>
      <c r="R50" s="296"/>
    </row>
    <row r="51" spans="1:18" x14ac:dyDescent="0.2">
      <c r="A51" s="293"/>
      <c r="B51" s="293"/>
      <c r="C51" s="288"/>
      <c r="D51" s="252">
        <f t="shared" ref="D51:I51" si="21">D50/2080</f>
        <v>19.344977238138316</v>
      </c>
      <c r="E51" s="252">
        <f t="shared" si="21"/>
        <v>20.324898191959814</v>
      </c>
      <c r="F51" s="252">
        <f t="shared" si="21"/>
        <v>21.341170178677281</v>
      </c>
      <c r="G51" s="252">
        <f t="shared" si="21"/>
        <v>22.415454893871189</v>
      </c>
      <c r="H51" s="252">
        <f t="shared" si="21"/>
        <v>23.533333771420796</v>
      </c>
      <c r="I51" s="252">
        <f t="shared" si="21"/>
        <v>25.014181435540642</v>
      </c>
      <c r="J51" s="288" t="s">
        <v>11</v>
      </c>
      <c r="K51" s="289"/>
      <c r="L51" s="289"/>
      <c r="M51" s="289"/>
    </row>
    <row r="56" spans="1:18" x14ac:dyDescent="0.2">
      <c r="A56" s="553" t="s">
        <v>944</v>
      </c>
      <c r="B56" s="553"/>
      <c r="C56" s="553"/>
    </row>
    <row r="57" spans="1:18" x14ac:dyDescent="0.2">
      <c r="A57" s="285" t="s">
        <v>409</v>
      </c>
      <c r="B57" s="285" t="s">
        <v>323</v>
      </c>
      <c r="C57" s="304" t="s">
        <v>911</v>
      </c>
      <c r="D57" s="287">
        <f>3479.71*1.0558</f>
        <v>3673.8778180000004</v>
      </c>
      <c r="E57" s="287">
        <f>3651.32*1.0558</f>
        <v>3855.0636560000003</v>
      </c>
      <c r="F57" s="287">
        <f>3834*1.0558</f>
        <v>4047.9372000000003</v>
      </c>
      <c r="G57" s="287">
        <f>4025.53*1.0558</f>
        <v>4250.1545740000001</v>
      </c>
      <c r="H57" s="287">
        <f>4227.03*1.0558</f>
        <v>4462.8982740000001</v>
      </c>
      <c r="I57" s="287">
        <f>4438.49*1.0558</f>
        <v>4686.1577420000003</v>
      </c>
      <c r="J57" s="289" t="s">
        <v>10</v>
      </c>
      <c r="K57" s="289"/>
      <c r="L57" s="289"/>
      <c r="M57" s="290" t="s">
        <v>460</v>
      </c>
      <c r="N57" s="291">
        <f>(E57-D57)/D57</f>
        <v>4.9317328168151903E-2</v>
      </c>
      <c r="O57" s="291">
        <f>(F57-E57)/E57</f>
        <v>5.003122158561836E-2</v>
      </c>
      <c r="P57" s="291">
        <f>(G57-F57)/F57</f>
        <v>4.9955659885237307E-2</v>
      </c>
      <c r="Q57" s="291">
        <f>(H57-G57)/G57</f>
        <v>5.0055520639518271E-2</v>
      </c>
      <c r="R57" s="291">
        <f>(I57-H57)/H57</f>
        <v>5.0025668140514776E-2</v>
      </c>
    </row>
    <row r="58" spans="1:18" x14ac:dyDescent="0.2">
      <c r="A58" s="293"/>
      <c r="B58" s="285"/>
      <c r="C58" s="289"/>
      <c r="D58" s="295">
        <f t="shared" ref="D58:I58" si="22">D57*12</f>
        <v>44086.533816000003</v>
      </c>
      <c r="E58" s="295">
        <f t="shared" si="22"/>
        <v>46260.763872000003</v>
      </c>
      <c r="F58" s="295">
        <f t="shared" si="22"/>
        <v>48575.246400000004</v>
      </c>
      <c r="G58" s="295">
        <f t="shared" si="22"/>
        <v>51001.854888000002</v>
      </c>
      <c r="H58" s="295">
        <f t="shared" si="22"/>
        <v>53554.779288000005</v>
      </c>
      <c r="I58" s="295">
        <f t="shared" si="22"/>
        <v>56233.892904000008</v>
      </c>
      <c r="J58" s="289" t="s">
        <v>529</v>
      </c>
      <c r="K58" s="289"/>
      <c r="L58" s="289"/>
      <c r="M58" s="290" t="s">
        <v>461</v>
      </c>
      <c r="N58" s="291">
        <f>(I57-D57)/D57</f>
        <v>0.275534455457495</v>
      </c>
      <c r="O58" s="296"/>
      <c r="P58" s="296"/>
      <c r="Q58" s="296"/>
      <c r="R58" s="296"/>
    </row>
    <row r="59" spans="1:18" x14ac:dyDescent="0.2">
      <c r="A59" s="293"/>
      <c r="B59" s="285"/>
      <c r="C59" s="289"/>
      <c r="D59" s="301">
        <f t="shared" ref="D59:I59" si="23">D58/2080</f>
        <v>21.195448950000003</v>
      </c>
      <c r="E59" s="301">
        <f t="shared" si="23"/>
        <v>22.240751861538463</v>
      </c>
      <c r="F59" s="301">
        <f t="shared" si="23"/>
        <v>23.353483846153846</v>
      </c>
      <c r="G59" s="301">
        <f t="shared" si="23"/>
        <v>24.520122542307693</v>
      </c>
      <c r="H59" s="301">
        <f t="shared" si="23"/>
        <v>25.747490042307696</v>
      </c>
      <c r="I59" s="301">
        <f t="shared" si="23"/>
        <v>27.035525434615387</v>
      </c>
      <c r="J59" s="289" t="s">
        <v>11</v>
      </c>
      <c r="K59" s="289"/>
      <c r="L59" s="289"/>
      <c r="M59" s="289"/>
    </row>
    <row r="61" spans="1:18" x14ac:dyDescent="0.2">
      <c r="A61" s="285" t="s">
        <v>410</v>
      </c>
      <c r="B61" s="285" t="s">
        <v>325</v>
      </c>
      <c r="C61" s="304" t="s">
        <v>912</v>
      </c>
      <c r="D61" s="287"/>
      <c r="E61" s="287"/>
      <c r="F61" s="287"/>
      <c r="G61" s="287"/>
      <c r="H61" s="287"/>
      <c r="I61" s="287">
        <f>5103.88*1.0558</f>
        <v>5388.6765040000009</v>
      </c>
      <c r="J61" s="289" t="s">
        <v>10</v>
      </c>
      <c r="K61" s="289"/>
      <c r="L61" s="289"/>
      <c r="M61" s="290" t="s">
        <v>460</v>
      </c>
      <c r="N61" s="291"/>
      <c r="O61" s="291"/>
      <c r="P61" s="291"/>
      <c r="Q61" s="291"/>
      <c r="R61" s="291"/>
    </row>
    <row r="62" spans="1:18" x14ac:dyDescent="0.2">
      <c r="A62" s="293"/>
      <c r="B62" s="293"/>
      <c r="C62" s="289"/>
      <c r="D62" s="287"/>
      <c r="E62" s="287"/>
      <c r="F62" s="287"/>
      <c r="G62" s="287"/>
      <c r="H62" s="287"/>
      <c r="I62" s="295">
        <f>I61*12</f>
        <v>64664.118048000011</v>
      </c>
      <c r="J62" s="289" t="s">
        <v>529</v>
      </c>
      <c r="K62" s="289"/>
      <c r="L62" s="289"/>
      <c r="M62" s="290" t="s">
        <v>461</v>
      </c>
      <c r="N62" s="291"/>
      <c r="O62" s="296"/>
      <c r="P62" s="296"/>
      <c r="Q62" s="296"/>
      <c r="R62" s="296"/>
    </row>
    <row r="63" spans="1:18" x14ac:dyDescent="0.2">
      <c r="A63" s="293"/>
      <c r="B63" s="285"/>
      <c r="C63" s="289"/>
      <c r="D63" s="287"/>
      <c r="E63" s="287"/>
      <c r="F63" s="287"/>
      <c r="G63" s="287"/>
      <c r="H63" s="287"/>
      <c r="I63" s="301">
        <f>I62/2080</f>
        <v>31.088518292307697</v>
      </c>
      <c r="J63" s="289" t="s">
        <v>11</v>
      </c>
      <c r="K63" s="289"/>
      <c r="L63" s="289"/>
      <c r="M63" s="289"/>
    </row>
    <row r="65" spans="1:18" x14ac:dyDescent="0.2">
      <c r="A65" s="285" t="s">
        <v>442</v>
      </c>
      <c r="B65" s="285" t="s">
        <v>329</v>
      </c>
      <c r="C65" s="304" t="s">
        <v>913</v>
      </c>
      <c r="D65" s="287">
        <f>4696.31*1.0558</f>
        <v>4958.3640980000009</v>
      </c>
      <c r="E65" s="287">
        <f>4930.37*1.0558</f>
        <v>5205.4846459999999</v>
      </c>
      <c r="F65" s="287">
        <f>5177.12*1.0558</f>
        <v>5466.0032959999999</v>
      </c>
      <c r="G65" s="287">
        <f>5436.56*1.0558</f>
        <v>5739.9200480000009</v>
      </c>
      <c r="H65" s="287">
        <f>5707.52*1.0558</f>
        <v>6025.999616000001</v>
      </c>
      <c r="I65" s="287">
        <f>5991.17*1.0558</f>
        <v>6325.4772860000003</v>
      </c>
      <c r="J65" s="289" t="s">
        <v>10</v>
      </c>
      <c r="K65" s="289"/>
      <c r="L65" s="289"/>
      <c r="M65" s="290" t="s">
        <v>460</v>
      </c>
      <c r="N65" s="291">
        <f>(E65-D65)/D65</f>
        <v>4.9839129018314159E-2</v>
      </c>
      <c r="O65" s="291">
        <f>(F65-E65)/E65</f>
        <v>5.0046953879729107E-2</v>
      </c>
      <c r="P65" s="291">
        <f>(G65-F65)/F65</f>
        <v>5.0112804030040051E-2</v>
      </c>
      <c r="Q65" s="291">
        <f>(H65-G65)/G65</f>
        <v>4.9840340215136052E-2</v>
      </c>
      <c r="R65" s="291">
        <f>(I65-H65)/H65</f>
        <v>4.9697591948867338E-2</v>
      </c>
    </row>
    <row r="66" spans="1:18" x14ac:dyDescent="0.2">
      <c r="A66" s="293"/>
      <c r="B66" s="293"/>
      <c r="C66" s="289"/>
      <c r="D66" s="295">
        <f t="shared" ref="D66:I66" si="24">D65*12</f>
        <v>59500.369176000007</v>
      </c>
      <c r="E66" s="295">
        <f t="shared" si="24"/>
        <v>62465.815751999995</v>
      </c>
      <c r="F66" s="295">
        <f t="shared" si="24"/>
        <v>65592.039552000002</v>
      </c>
      <c r="G66" s="295">
        <f t="shared" si="24"/>
        <v>68879.040576000014</v>
      </c>
      <c r="H66" s="295">
        <f t="shared" si="24"/>
        <v>72311.995392000012</v>
      </c>
      <c r="I66" s="295">
        <f t="shared" si="24"/>
        <v>75905.727432</v>
      </c>
      <c r="J66" s="289" t="s">
        <v>529</v>
      </c>
      <c r="K66" s="289"/>
      <c r="L66" s="289"/>
      <c r="M66" s="290" t="s">
        <v>461</v>
      </c>
      <c r="N66" s="291">
        <f>(I65-D65)/D65</f>
        <v>0.27571859608926991</v>
      </c>
      <c r="O66" s="296"/>
      <c r="P66" s="296"/>
      <c r="Q66" s="296"/>
      <c r="R66" s="296"/>
    </row>
    <row r="67" spans="1:18" x14ac:dyDescent="0.2">
      <c r="A67" s="293"/>
      <c r="B67" s="293"/>
      <c r="C67" s="289"/>
      <c r="D67" s="301">
        <f t="shared" ref="D67:I67" si="25">D66/2080</f>
        <v>28.605946719230772</v>
      </c>
      <c r="E67" s="301">
        <f t="shared" si="25"/>
        <v>30.031642188461536</v>
      </c>
      <c r="F67" s="301">
        <f t="shared" si="25"/>
        <v>31.534634400000002</v>
      </c>
      <c r="G67" s="301">
        <f t="shared" si="25"/>
        <v>33.114923353846159</v>
      </c>
      <c r="H67" s="301">
        <f t="shared" si="25"/>
        <v>34.765382400000007</v>
      </c>
      <c r="I67" s="301">
        <f t="shared" si="25"/>
        <v>36.493138188461536</v>
      </c>
      <c r="J67" s="289" t="s">
        <v>11</v>
      </c>
      <c r="K67" s="289"/>
      <c r="L67" s="289"/>
      <c r="M67" s="289"/>
    </row>
    <row r="68" spans="1:18" ht="34.5" customHeight="1" x14ac:dyDescent="0.2">
      <c r="A68" s="293"/>
      <c r="B68" s="293"/>
      <c r="C68" s="289"/>
      <c r="D68" s="301"/>
      <c r="E68" s="301"/>
      <c r="F68" s="301"/>
      <c r="G68" s="301"/>
      <c r="H68" s="301"/>
      <c r="I68" s="301"/>
      <c r="J68" s="289"/>
      <c r="K68" s="289"/>
      <c r="L68" s="289"/>
      <c r="M68" s="289"/>
    </row>
    <row r="69" spans="1:18" s="298" customFormat="1" x14ac:dyDescent="0.2">
      <c r="A69" s="285" t="s">
        <v>809</v>
      </c>
      <c r="B69" s="285" t="s">
        <v>328</v>
      </c>
      <c r="C69" s="305" t="s">
        <v>914</v>
      </c>
      <c r="D69" s="256">
        <f>4718.25*1.0558</f>
        <v>4981.5283500000005</v>
      </c>
      <c r="E69" s="256">
        <f>4954.16*1.0558</f>
        <v>5230.6021280000004</v>
      </c>
      <c r="F69" s="256">
        <f>5200.8*1.0558</f>
        <v>5491.004640000001</v>
      </c>
      <c r="G69" s="256">
        <f>5460.3*1.0558</f>
        <v>5764.9847400000008</v>
      </c>
      <c r="H69" s="256">
        <f>5734.82*1.0558</f>
        <v>6054.822956</v>
      </c>
      <c r="I69" s="256">
        <f>6021.13*1.0558</f>
        <v>6357.1090540000005</v>
      </c>
      <c r="J69" s="289" t="s">
        <v>10</v>
      </c>
      <c r="K69" s="289"/>
      <c r="M69" s="290" t="s">
        <v>460</v>
      </c>
      <c r="N69" s="291">
        <f>(E69-D69)/D69</f>
        <v>4.9999470142531643E-2</v>
      </c>
      <c r="O69" s="291">
        <f>(F69-E69)/E69</f>
        <v>4.9784423595523868E-2</v>
      </c>
      <c r="P69" s="291">
        <f>(G69-F69)/F69</f>
        <v>4.9896169820027633E-2</v>
      </c>
      <c r="Q69" s="291">
        <f>(H69-G69)/G69</f>
        <v>5.0275625881361682E-2</v>
      </c>
      <c r="R69" s="291">
        <f>(I69-H69)/H69</f>
        <v>4.9924845069243752E-2</v>
      </c>
    </row>
    <row r="70" spans="1:18" x14ac:dyDescent="0.2">
      <c r="D70" s="295">
        <f t="shared" ref="D70:I70" si="26">D69*12</f>
        <v>59778.340200000006</v>
      </c>
      <c r="E70" s="295">
        <f t="shared" si="26"/>
        <v>62767.225536000005</v>
      </c>
      <c r="F70" s="295">
        <f t="shared" si="26"/>
        <v>65892.055680000019</v>
      </c>
      <c r="G70" s="295">
        <f t="shared" si="26"/>
        <v>69179.816880000013</v>
      </c>
      <c r="H70" s="295">
        <f t="shared" si="26"/>
        <v>72657.875472</v>
      </c>
      <c r="I70" s="295">
        <f t="shared" si="26"/>
        <v>76285.308648000006</v>
      </c>
      <c r="J70" s="289" t="s">
        <v>529</v>
      </c>
      <c r="K70" s="289"/>
      <c r="M70" s="290" t="s">
        <v>461</v>
      </c>
      <c r="N70" s="291">
        <f>(I69-D69)/D69</f>
        <v>0.27613627934085727</v>
      </c>
      <c r="O70" s="296"/>
      <c r="P70" s="296"/>
      <c r="Q70" s="296"/>
      <c r="R70" s="296"/>
    </row>
    <row r="71" spans="1:18" x14ac:dyDescent="0.2">
      <c r="D71" s="301">
        <f t="shared" ref="D71:I71" si="27">D70/2080</f>
        <v>28.739586634615389</v>
      </c>
      <c r="E71" s="301">
        <f t="shared" si="27"/>
        <v>30.17655073846154</v>
      </c>
      <c r="F71" s="301">
        <f t="shared" si="27"/>
        <v>31.678872923076934</v>
      </c>
      <c r="G71" s="301">
        <f t="shared" si="27"/>
        <v>33.259527346153853</v>
      </c>
      <c r="H71" s="301">
        <f>H70/2080</f>
        <v>34.9316709</v>
      </c>
      <c r="I71" s="301">
        <f t="shared" si="27"/>
        <v>36.675629157692313</v>
      </c>
      <c r="J71" s="289" t="s">
        <v>11</v>
      </c>
      <c r="K71" s="289"/>
      <c r="L71" s="289"/>
      <c r="M71" s="289"/>
    </row>
    <row r="72" spans="1:18" x14ac:dyDescent="0.2">
      <c r="A72" s="306" t="s">
        <v>915</v>
      </c>
    </row>
    <row r="74" spans="1:18" x14ac:dyDescent="0.2">
      <c r="A74" s="285" t="s">
        <v>439</v>
      </c>
      <c r="B74" s="285" t="s">
        <v>327</v>
      </c>
      <c r="C74" s="288" t="s">
        <v>985</v>
      </c>
      <c r="D74" s="287">
        <f>4356.19530028911*1.0198</f>
        <v>4442.4479672348343</v>
      </c>
      <c r="E74" s="287">
        <f>4573.16807832598*1.0198</f>
        <v>4663.7168062768342</v>
      </c>
      <c r="F74" s="287">
        <f>4801.70731608015*1.0198</f>
        <v>4896.7811209385372</v>
      </c>
      <c r="G74" s="287">
        <f>5041.79042281*1.0198</f>
        <v>5141.6178731816381</v>
      </c>
      <c r="H74" s="287">
        <f>5293.42869388632*1.0198</f>
        <v>5398.2385820252694</v>
      </c>
      <c r="I74" s="287">
        <f>5559.18617848476*1.0198</f>
        <v>5669.2580648187577</v>
      </c>
      <c r="J74" s="288" t="s">
        <v>10</v>
      </c>
    </row>
    <row r="75" spans="1:18" x14ac:dyDescent="0.2">
      <c r="A75" s="293"/>
      <c r="B75" s="285"/>
      <c r="C75" s="288"/>
      <c r="D75" s="295">
        <f t="shared" ref="D75:I75" si="28">D74*12</f>
        <v>53309.375606818008</v>
      </c>
      <c r="E75" s="295">
        <f t="shared" si="28"/>
        <v>55964.60167532201</v>
      </c>
      <c r="F75" s="295">
        <f t="shared" si="28"/>
        <v>58761.373451262451</v>
      </c>
      <c r="G75" s="295">
        <f t="shared" si="28"/>
        <v>61699.414478179657</v>
      </c>
      <c r="H75" s="295">
        <f t="shared" si="28"/>
        <v>64778.862984303232</v>
      </c>
      <c r="I75" s="295">
        <f t="shared" si="28"/>
        <v>68031.096777825092</v>
      </c>
      <c r="J75" s="288" t="s">
        <v>529</v>
      </c>
    </row>
    <row r="76" spans="1:18" x14ac:dyDescent="0.2">
      <c r="A76" s="293"/>
      <c r="B76" s="285"/>
      <c r="C76" s="288"/>
      <c r="D76" s="301">
        <f t="shared" ref="D76:I76" si="29">D75/2080</f>
        <v>25.629507503277889</v>
      </c>
      <c r="E76" s="301">
        <f t="shared" si="29"/>
        <v>26.906058497750966</v>
      </c>
      <c r="F76" s="301">
        <f t="shared" si="29"/>
        <v>28.250660313106948</v>
      </c>
      <c r="G76" s="301">
        <f t="shared" si="29"/>
        <v>29.663180037586372</v>
      </c>
      <c r="H76" s="301">
        <f t="shared" si="29"/>
        <v>31.143684127068862</v>
      </c>
      <c r="I76" s="301">
        <f t="shared" si="29"/>
        <v>32.707258066262064</v>
      </c>
      <c r="J76" s="288" t="s">
        <v>11</v>
      </c>
    </row>
    <row r="78" spans="1:18" x14ac:dyDescent="0.2">
      <c r="A78" s="532" t="s">
        <v>516</v>
      </c>
      <c r="B78" s="307" t="s">
        <v>526</v>
      </c>
      <c r="C78" s="298" t="s">
        <v>986</v>
      </c>
      <c r="D78" s="287">
        <f>3908.57105015516*1.0198</f>
        <v>3985.9607569482323</v>
      </c>
      <c r="E78" s="287">
        <f>4103.43878750183*1.0198</f>
        <v>4184.6868754943662</v>
      </c>
      <c r="F78" s="287">
        <f>4309.47764658718*1.0198</f>
        <v>4394.8053039896067</v>
      </c>
      <c r="G78" s="287">
        <f>4524.21394120215*1.0198</f>
        <v>4613.7933772379529</v>
      </c>
      <c r="H78" s="287">
        <f>4751.35255297492*1.0198</f>
        <v>4845.4293335238244</v>
      </c>
      <c r="I78" s="287">
        <f>4988.41979569644*1.0198</f>
        <v>5087.1905076512294</v>
      </c>
      <c r="J78" s="288" t="s">
        <v>10</v>
      </c>
    </row>
    <row r="79" spans="1:18" x14ac:dyDescent="0.2">
      <c r="C79" s="298"/>
      <c r="D79" s="295">
        <f t="shared" ref="D79:I79" si="30">D78*12</f>
        <v>47831.529083378788</v>
      </c>
      <c r="E79" s="295">
        <f t="shared" si="30"/>
        <v>50216.242505932394</v>
      </c>
      <c r="F79" s="295">
        <f t="shared" si="30"/>
        <v>52737.663647875277</v>
      </c>
      <c r="G79" s="295">
        <f t="shared" si="30"/>
        <v>55365.520526855435</v>
      </c>
      <c r="H79" s="295">
        <f t="shared" si="30"/>
        <v>58145.152002285889</v>
      </c>
      <c r="I79" s="295">
        <f t="shared" si="30"/>
        <v>61046.286091814749</v>
      </c>
      <c r="J79" s="288" t="s">
        <v>529</v>
      </c>
    </row>
    <row r="80" spans="1:18" x14ac:dyDescent="0.2">
      <c r="C80" s="298"/>
      <c r="D80" s="252">
        <f t="shared" ref="D80:I80" si="31">D79/2080</f>
        <v>22.995927443932111</v>
      </c>
      <c r="E80" s="252">
        <f t="shared" si="31"/>
        <v>24.142424281698265</v>
      </c>
      <c r="F80" s="252">
        <f t="shared" si="31"/>
        <v>25.354645984555422</v>
      </c>
      <c r="G80" s="252">
        <f t="shared" si="31"/>
        <v>26.618038714834345</v>
      </c>
      <c r="H80" s="252">
        <f t="shared" si="31"/>
        <v>27.954400001098985</v>
      </c>
      <c r="I80" s="252">
        <f t="shared" si="31"/>
        <v>29.349176005680167</v>
      </c>
      <c r="J80" s="288" t="s">
        <v>11</v>
      </c>
    </row>
    <row r="81" spans="1:18" x14ac:dyDescent="0.2">
      <c r="A81" s="306" t="s">
        <v>987</v>
      </c>
    </row>
    <row r="83" spans="1:18" x14ac:dyDescent="0.2">
      <c r="A83" s="285" t="s">
        <v>997</v>
      </c>
      <c r="B83" s="285"/>
      <c r="C83" s="300" t="s">
        <v>1093</v>
      </c>
      <c r="D83" s="287">
        <f>4274.8830769856*$L$1</f>
        <v>4351.830972371341</v>
      </c>
      <c r="E83" s="287">
        <f>4488.62723083489*$L$1</f>
        <v>4569.4225209899178</v>
      </c>
      <c r="F83" s="287">
        <f>4713.05859237663*$L$1</f>
        <v>4797.8936470394101</v>
      </c>
      <c r="G83" s="287">
        <f>4948.71152199546*$L$1</f>
        <v>5037.7883293913783</v>
      </c>
      <c r="H83" s="287">
        <f>5196.14709809523*$L$1</f>
        <v>5289.677745860944</v>
      </c>
      <c r="I83" s="287">
        <f>5455.954453*$L$1</f>
        <v>5554.1616331540008</v>
      </c>
      <c r="J83" s="288" t="s">
        <v>10</v>
      </c>
      <c r="K83" s="289"/>
      <c r="L83" s="289"/>
      <c r="M83" s="290" t="s">
        <v>460</v>
      </c>
      <c r="N83" s="291">
        <f>(E83-D83)/D83</f>
        <v>5.0000000000002237E-2</v>
      </c>
      <c r="O83" s="291">
        <f>(F83-E83)/E83</f>
        <v>4.9999999999999226E-2</v>
      </c>
      <c r="P83" s="291">
        <f>(G83-F83)/F83</f>
        <v>4.9999999999999517E-2</v>
      </c>
      <c r="Q83" s="291">
        <f>(H83-G83)/G83</f>
        <v>4.9999999999999371E-2</v>
      </c>
      <c r="R83" s="291">
        <f>(I83-H83)/H83</f>
        <v>5.0000000000001814E-2</v>
      </c>
    </row>
    <row r="84" spans="1:18" x14ac:dyDescent="0.2">
      <c r="A84" s="293"/>
      <c r="B84" s="285"/>
      <c r="C84" s="288"/>
      <c r="D84" s="295">
        <f t="shared" ref="D84:I84" si="32">D83*12</f>
        <v>52221.971668456092</v>
      </c>
      <c r="E84" s="295">
        <f t="shared" si="32"/>
        <v>54833.070251879013</v>
      </c>
      <c r="F84" s="295">
        <f t="shared" si="32"/>
        <v>57574.723764472918</v>
      </c>
      <c r="G84" s="295">
        <f t="shared" si="32"/>
        <v>60453.459952696539</v>
      </c>
      <c r="H84" s="295">
        <f t="shared" si="32"/>
        <v>63476.132950331332</v>
      </c>
      <c r="I84" s="295">
        <f t="shared" si="32"/>
        <v>66649.939597848017</v>
      </c>
      <c r="J84" s="288" t="s">
        <v>529</v>
      </c>
      <c r="K84" s="289"/>
      <c r="L84" s="289"/>
      <c r="M84" s="290" t="s">
        <v>461</v>
      </c>
      <c r="N84" s="291">
        <f>(I83-D83)/D83</f>
        <v>0.27628156250000263</v>
      </c>
      <c r="O84" s="296"/>
      <c r="P84" s="296"/>
      <c r="Q84" s="296"/>
      <c r="R84" s="296"/>
    </row>
    <row r="85" spans="1:18" x14ac:dyDescent="0.2">
      <c r="A85" s="293"/>
      <c r="B85" s="285"/>
      <c r="C85" s="288"/>
      <c r="D85" s="301">
        <f t="shared" ref="D85:I85" si="33">D84/2080</f>
        <v>25.106717148296198</v>
      </c>
      <c r="E85" s="301">
        <f t="shared" si="33"/>
        <v>26.362053005711065</v>
      </c>
      <c r="F85" s="301">
        <f t="shared" si="33"/>
        <v>27.680155655996597</v>
      </c>
      <c r="G85" s="301">
        <f t="shared" si="33"/>
        <v>29.064163438796413</v>
      </c>
      <c r="H85" s="301">
        <f t="shared" si="33"/>
        <v>30.517371610736216</v>
      </c>
      <c r="I85" s="301">
        <f t="shared" si="33"/>
        <v>32.043240191273085</v>
      </c>
      <c r="J85" s="288" t="s">
        <v>11</v>
      </c>
      <c r="K85" s="289"/>
      <c r="L85" s="289"/>
      <c r="M85" s="289"/>
    </row>
  </sheetData>
  <mergeCells count="7">
    <mergeCell ref="N1:R1"/>
    <mergeCell ref="A46:J46"/>
    <mergeCell ref="A56:C56"/>
    <mergeCell ref="A1:A2"/>
    <mergeCell ref="B1:B2"/>
    <mergeCell ref="C1:C2"/>
    <mergeCell ref="D1:I1"/>
  </mergeCells>
  <printOptions horizontalCentered="1" headings="1" gridLines="1"/>
  <pageMargins left="0.25" right="0.25" top="1.75" bottom="1" header="0.5" footer="0.5"/>
  <pageSetup scale="51" fitToHeight="4" orientation="portrait" r:id="rId1"/>
  <headerFooter alignWithMargins="0">
    <oddHeader xml:space="preserve">&amp;LOrdinance #   (pay plan adoption)
Resolution # 9349 (contract adoption)&amp;C&amp;"Times New Roman,Bold"&amp;16
2017 CITY OF BELLEVUE PAY PLANS
BELLEVUE POLICE SUPPORT GUILD
</oddHeader>
    <oddFooter>&amp;C&amp;"Arial,Bold"&amp;16&amp;A&amp;REffective 01/01/17
System Update 12/18/17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P23"/>
  <sheetViews>
    <sheetView view="pageLayout" zoomScaleNormal="100" zoomScaleSheetLayoutView="90" workbookViewId="0">
      <selection sqref="A1:A2"/>
    </sheetView>
  </sheetViews>
  <sheetFormatPr defaultColWidth="9.140625" defaultRowHeight="12.75" x14ac:dyDescent="0.2"/>
  <cols>
    <col min="1" max="1" width="6.7109375" style="273" customWidth="1"/>
    <col min="2" max="2" width="1.7109375" style="273" bestFit="1" customWidth="1"/>
    <col min="3" max="3" width="7.85546875" style="273" customWidth="1"/>
    <col min="4" max="4" width="42.5703125" style="246" customWidth="1"/>
    <col min="5" max="5" width="14.42578125" style="317" bestFit="1" customWidth="1"/>
    <col min="6" max="6" width="12.28515625" style="317" bestFit="1" customWidth="1"/>
    <col min="7" max="7" width="14.42578125" style="317" bestFit="1" customWidth="1"/>
    <col min="8" max="8" width="9.85546875" style="246" customWidth="1"/>
    <col min="9" max="10" width="9.140625" style="246" customWidth="1"/>
    <col min="11" max="11" width="17" style="246" customWidth="1"/>
    <col min="12" max="14" width="9.28515625" style="246" bestFit="1" customWidth="1"/>
    <col min="15" max="16384" width="9.140625" style="246"/>
  </cols>
  <sheetData>
    <row r="1" spans="1:16" s="261" customFormat="1" ht="12.75" customHeight="1" x14ac:dyDescent="0.2">
      <c r="A1" s="542" t="s">
        <v>598</v>
      </c>
      <c r="B1" s="542"/>
      <c r="C1" s="542" t="s">
        <v>0</v>
      </c>
      <c r="D1" s="542" t="s">
        <v>1</v>
      </c>
      <c r="E1" s="559" t="s">
        <v>381</v>
      </c>
      <c r="F1" s="559" t="s">
        <v>383</v>
      </c>
      <c r="G1" s="559" t="s">
        <v>382</v>
      </c>
      <c r="H1" s="395">
        <v>2017</v>
      </c>
      <c r="I1" s="261" t="s">
        <v>1062</v>
      </c>
      <c r="J1" s="261">
        <v>1.018</v>
      </c>
      <c r="K1" s="308"/>
      <c r="L1" s="544" t="s">
        <v>2</v>
      </c>
      <c r="M1" s="544"/>
      <c r="N1" s="544"/>
      <c r="O1" s="309"/>
      <c r="P1" s="309"/>
    </row>
    <row r="2" spans="1:16" s="264" customFormat="1" x14ac:dyDescent="0.2">
      <c r="A2" s="541"/>
      <c r="B2" s="541"/>
      <c r="C2" s="541"/>
      <c r="D2" s="543"/>
      <c r="E2" s="560"/>
      <c r="F2" s="560"/>
      <c r="G2" s="560"/>
      <c r="H2" s="394"/>
      <c r="K2" s="310"/>
      <c r="L2" s="247" t="s">
        <v>466</v>
      </c>
      <c r="M2" s="247" t="s">
        <v>467</v>
      </c>
      <c r="N2" s="247" t="s">
        <v>382</v>
      </c>
      <c r="O2" s="265"/>
      <c r="P2" s="265"/>
    </row>
    <row r="3" spans="1:16" x14ac:dyDescent="0.2">
      <c r="A3" s="273" t="s">
        <v>599</v>
      </c>
      <c r="B3" s="273" t="s">
        <v>88</v>
      </c>
      <c r="C3" s="266" t="s">
        <v>603</v>
      </c>
      <c r="D3" s="276" t="s">
        <v>494</v>
      </c>
      <c r="E3" s="311">
        <f>E4/12</f>
        <v>9589.4477654999992</v>
      </c>
      <c r="F3" s="311">
        <f>F4/12</f>
        <v>11383.659277000001</v>
      </c>
      <c r="G3" s="311">
        <f>G4/12</f>
        <v>13177.870873333333</v>
      </c>
      <c r="H3" s="276" t="s">
        <v>10</v>
      </c>
      <c r="K3" s="312" t="s">
        <v>460</v>
      </c>
      <c r="L3" s="291">
        <f>(F3-E3)/E3</f>
        <v>0.18710269406284735</v>
      </c>
      <c r="M3" s="291">
        <f>(G3-F3)/F3</f>
        <v>0.15761290395948774</v>
      </c>
      <c r="N3" s="291"/>
      <c r="O3" s="291"/>
      <c r="P3" s="291"/>
    </row>
    <row r="4" spans="1:16" x14ac:dyDescent="0.2">
      <c r="A4" s="273" t="s">
        <v>645</v>
      </c>
      <c r="B4" s="273" t="s">
        <v>88</v>
      </c>
      <c r="C4" s="273" t="s">
        <v>874</v>
      </c>
      <c r="D4" s="246" t="s">
        <v>875</v>
      </c>
      <c r="E4" s="311">
        <f>113038.677*$J$1</f>
        <v>115073.373186</v>
      </c>
      <c r="F4" s="311">
        <f>134188.518*$J$1</f>
        <v>136603.91132400002</v>
      </c>
      <c r="G4" s="311">
        <f>155338.36*$J$1</f>
        <v>158134.45048</v>
      </c>
      <c r="H4" s="246" t="s">
        <v>529</v>
      </c>
      <c r="K4" s="312" t="s">
        <v>461</v>
      </c>
      <c r="L4" s="291">
        <f>(G3-E3)/E3</f>
        <v>0.37420539697222405</v>
      </c>
    </row>
    <row r="5" spans="1:16" x14ac:dyDescent="0.2">
      <c r="A5" s="313"/>
      <c r="B5" s="273" t="s">
        <v>88</v>
      </c>
      <c r="C5" s="266" t="s">
        <v>602</v>
      </c>
      <c r="D5" s="276" t="s">
        <v>601</v>
      </c>
      <c r="E5" s="314">
        <f>E4/2080</f>
        <v>55.323737108653845</v>
      </c>
      <c r="F5" s="314">
        <f>F4/2080</f>
        <v>65.674957367307698</v>
      </c>
      <c r="G5" s="314">
        <f>G4/2080</f>
        <v>76.02617811538461</v>
      </c>
      <c r="H5" s="246" t="s">
        <v>11</v>
      </c>
      <c r="K5" s="312" t="s">
        <v>462</v>
      </c>
      <c r="L5" s="291">
        <f>(E8-E3)/E3</f>
        <v>0</v>
      </c>
      <c r="M5" s="291">
        <f>(F8-F3)/F3</f>
        <v>9.4008080482713058E-2</v>
      </c>
      <c r="N5" s="291">
        <f>(G8-G3)/G3</f>
        <v>0.16241719044800024</v>
      </c>
    </row>
    <row r="6" spans="1:16" x14ac:dyDescent="0.2">
      <c r="A6" s="313"/>
      <c r="E6" s="314"/>
      <c r="F6" s="314"/>
      <c r="G6" s="314"/>
      <c r="K6" s="312"/>
      <c r="L6" s="291"/>
      <c r="M6" s="291"/>
      <c r="N6" s="291"/>
    </row>
    <row r="7" spans="1:16" x14ac:dyDescent="0.2">
      <c r="E7" s="291"/>
      <c r="F7" s="291"/>
      <c r="G7" s="291"/>
    </row>
    <row r="8" spans="1:16" x14ac:dyDescent="0.2">
      <c r="A8" s="273" t="s">
        <v>646</v>
      </c>
      <c r="B8" s="273" t="s">
        <v>88</v>
      </c>
      <c r="C8" s="271" t="s">
        <v>330</v>
      </c>
      <c r="D8" s="315" t="s">
        <v>15</v>
      </c>
      <c r="E8" s="311">
        <f>E9/12</f>
        <v>9589.4477654999992</v>
      </c>
      <c r="F8" s="311">
        <f>F9/12</f>
        <v>12453.8152345</v>
      </c>
      <c r="G8" s="311">
        <f>G9/12</f>
        <v>15318.183636666668</v>
      </c>
      <c r="H8" s="246" t="s">
        <v>10</v>
      </c>
      <c r="K8" s="312" t="s">
        <v>460</v>
      </c>
      <c r="L8" s="291">
        <f>(F8-E8)/E8</f>
        <v>0.29869993966755298</v>
      </c>
      <c r="M8" s="291">
        <f>(G8-F8)/F8</f>
        <v>0.22999926915823304</v>
      </c>
    </row>
    <row r="9" spans="1:16" x14ac:dyDescent="0.2">
      <c r="B9" s="273" t="s">
        <v>88</v>
      </c>
      <c r="C9" s="275" t="s">
        <v>332</v>
      </c>
      <c r="D9" s="315" t="s">
        <v>172</v>
      </c>
      <c r="E9" s="311">
        <f>113038.677*$J$1</f>
        <v>115073.373186</v>
      </c>
      <c r="F9" s="311">
        <f>146803.323*$J$1</f>
        <v>149445.78281400001</v>
      </c>
      <c r="G9" s="311">
        <f>180567.98*$J$1</f>
        <v>183818.20364000002</v>
      </c>
      <c r="H9" s="246" t="s">
        <v>529</v>
      </c>
      <c r="K9" s="312" t="s">
        <v>461</v>
      </c>
      <c r="L9" s="291">
        <f>(G8-E8)/E8</f>
        <v>0.59739997664693156</v>
      </c>
    </row>
    <row r="10" spans="1:16" x14ac:dyDescent="0.2">
      <c r="B10" s="273" t="s">
        <v>88</v>
      </c>
      <c r="C10" s="275" t="s">
        <v>333</v>
      </c>
      <c r="D10" s="315" t="s">
        <v>17</v>
      </c>
      <c r="E10" s="314">
        <f>E9/2080</f>
        <v>55.323737108653845</v>
      </c>
      <c r="F10" s="314">
        <f>F9/2080</f>
        <v>71.848934045192308</v>
      </c>
      <c r="G10" s="314">
        <f>G9/2080</f>
        <v>88.374136365384629</v>
      </c>
      <c r="H10" s="246" t="s">
        <v>11</v>
      </c>
      <c r="K10" s="312" t="s">
        <v>462</v>
      </c>
      <c r="L10" s="291">
        <f>(E20-E8)/E8</f>
        <v>9.6307399280690653E-2</v>
      </c>
      <c r="M10" s="291">
        <f>(F20-F8)/F8</f>
        <v>9.6305340445188653E-2</v>
      </c>
      <c r="N10" s="291">
        <f>(G20-G8)/G8</f>
        <v>9.6303923873989172E-2</v>
      </c>
    </row>
    <row r="11" spans="1:16" x14ac:dyDescent="0.2">
      <c r="B11" s="273" t="s">
        <v>88</v>
      </c>
      <c r="C11" s="273" t="s">
        <v>872</v>
      </c>
      <c r="D11" s="246" t="s">
        <v>873</v>
      </c>
      <c r="E11" s="257"/>
      <c r="F11" s="257"/>
      <c r="G11" s="257"/>
    </row>
    <row r="12" spans="1:16" x14ac:dyDescent="0.2">
      <c r="B12" s="273" t="s">
        <v>88</v>
      </c>
      <c r="C12" s="275" t="s">
        <v>334</v>
      </c>
      <c r="D12" s="276" t="s">
        <v>509</v>
      </c>
      <c r="E12" s="257"/>
      <c r="F12" s="257"/>
      <c r="G12" s="257"/>
    </row>
    <row r="13" spans="1:16" x14ac:dyDescent="0.2">
      <c r="B13" s="275" t="s">
        <v>88</v>
      </c>
      <c r="C13" s="316" t="s">
        <v>388</v>
      </c>
      <c r="D13" s="276" t="s">
        <v>510</v>
      </c>
    </row>
    <row r="14" spans="1:16" x14ac:dyDescent="0.2">
      <c r="B14" s="273" t="s">
        <v>88</v>
      </c>
      <c r="C14" s="275" t="s">
        <v>331</v>
      </c>
      <c r="D14" s="276" t="s">
        <v>511</v>
      </c>
    </row>
    <row r="15" spans="1:16" x14ac:dyDescent="0.2">
      <c r="B15" s="273" t="s">
        <v>88</v>
      </c>
      <c r="C15" s="275" t="s">
        <v>335</v>
      </c>
      <c r="D15" s="276" t="s">
        <v>512</v>
      </c>
    </row>
    <row r="16" spans="1:16" x14ac:dyDescent="0.2">
      <c r="B16" s="273" t="s">
        <v>88</v>
      </c>
      <c r="C16" s="275" t="s">
        <v>336</v>
      </c>
      <c r="D16" s="276" t="s">
        <v>513</v>
      </c>
    </row>
    <row r="17" spans="1:14" x14ac:dyDescent="0.2">
      <c r="B17" s="273" t="s">
        <v>88</v>
      </c>
      <c r="C17" s="275" t="s">
        <v>337</v>
      </c>
      <c r="D17" s="276" t="s">
        <v>514</v>
      </c>
    </row>
    <row r="18" spans="1:14" ht="12.6" customHeight="1" x14ac:dyDescent="0.2">
      <c r="B18" s="273" t="s">
        <v>88</v>
      </c>
      <c r="C18" s="275" t="s">
        <v>338</v>
      </c>
      <c r="D18" s="315" t="s">
        <v>16</v>
      </c>
    </row>
    <row r="19" spans="1:14" ht="35.1" customHeight="1" x14ac:dyDescent="0.2">
      <c r="C19" s="275"/>
      <c r="D19" s="315"/>
    </row>
    <row r="20" spans="1:14" x14ac:dyDescent="0.2">
      <c r="A20" s="273" t="s">
        <v>600</v>
      </c>
      <c r="B20" s="273" t="s">
        <v>88</v>
      </c>
      <c r="C20" s="275" t="s">
        <v>339</v>
      </c>
      <c r="D20" s="315" t="s">
        <v>18</v>
      </c>
      <c r="E20" s="311">
        <f>E21/12</f>
        <v>10512.982540333334</v>
      </c>
      <c r="F20" s="311">
        <f>F21/12</f>
        <v>13653.184150499999</v>
      </c>
      <c r="G20" s="311">
        <f>G21/12</f>
        <v>16793.384827500002</v>
      </c>
      <c r="H20" s="246" t="s">
        <v>10</v>
      </c>
      <c r="K20" s="312" t="s">
        <v>460</v>
      </c>
      <c r="L20" s="291">
        <f>(F20-E20)/E20</f>
        <v>0.29869750074436047</v>
      </c>
      <c r="M20" s="291">
        <f>(G20-F20)/F20</f>
        <v>0.22999767983683161</v>
      </c>
    </row>
    <row r="21" spans="1:14" x14ac:dyDescent="0.2">
      <c r="A21" s="273" t="s">
        <v>647</v>
      </c>
      <c r="C21" s="275"/>
      <c r="D21" s="276"/>
      <c r="E21" s="311">
        <f>123925.138*$J$1</f>
        <v>126155.79048400001</v>
      </c>
      <c r="F21" s="311">
        <f>160941.267*$J$1</f>
        <v>163838.209806</v>
      </c>
      <c r="G21" s="311">
        <f>197957.385*$J$1</f>
        <v>201520.61793000001</v>
      </c>
      <c r="H21" s="246" t="s">
        <v>529</v>
      </c>
      <c r="K21" s="312" t="s">
        <v>461</v>
      </c>
      <c r="L21" s="291">
        <f>(G20-E20)/E20</f>
        <v>0.59739491272545531</v>
      </c>
    </row>
    <row r="22" spans="1:14" x14ac:dyDescent="0.2">
      <c r="C22" s="275"/>
      <c r="D22" s="276"/>
      <c r="E22" s="314">
        <f>E21/2080</f>
        <v>60.651822348076927</v>
      </c>
      <c r="F22" s="314">
        <f>F21/2080</f>
        <v>78.768370099038464</v>
      </c>
      <c r="G22" s="314">
        <f>G21/2080</f>
        <v>96.884912466346151</v>
      </c>
      <c r="H22" s="246" t="s">
        <v>11</v>
      </c>
      <c r="K22" s="312"/>
      <c r="L22" s="291"/>
      <c r="M22" s="291"/>
      <c r="N22" s="291"/>
    </row>
    <row r="23" spans="1:14" ht="35.1" customHeight="1" x14ac:dyDescent="0.2">
      <c r="E23" s="270"/>
      <c r="F23" s="270"/>
      <c r="G23" s="270"/>
    </row>
  </sheetData>
  <customSheetViews>
    <customSheetView guid="{03674138-A9FA-46A6-AB09-A74C70852C0D}" showPageBreaks="1" fitToPage="1" printArea="1" view="pageLayout">
      <selection activeCell="E9" sqref="E9"/>
      <pageMargins left="0.25" right="0.25" top="1.75" bottom="1" header="0.5" footer="0.5"/>
      <printOptions horizontalCentered="1" gridLines="1"/>
      <pageSetup scale="59" orientation="portrait" r:id="rId1"/>
      <headerFooter alignWithMargins="0">
        <oddHeader xml:space="preserve">&amp;L&amp;"Times New Roman,Regular"Ordinance #  (pay plan adoption)
&amp;C&amp;"Times New Roman,Bold"&amp;16 
ATTACHMENT I
2016 CITY OF BELLEVUE PAY PLANS
&amp;14NON-AFFILIATED
EXECUTIVE
</oddHeader>
        <oddFooter>&amp;L&amp;"Times New Roman,Regular"* Position is exempt from overtime.&amp;C&amp;"Times New Roman,Bold"&amp;16&amp;A</oddFooter>
      </headerFooter>
    </customSheetView>
    <customSheetView guid="{6140C585-A678-4296-91B8-0C17DF653D09}" showPageBreaks="1" fitToPage="1" printArea="1" view="pageLayout">
      <selection activeCell="C12" sqref="C12"/>
      <pageMargins left="0.25" right="0.25" top="1.75" bottom="1" header="0.5" footer="0.5"/>
      <printOptions horizontalCentered="1" gridLines="1"/>
      <pageSetup scale="60" orientation="portrait" r:id="rId2"/>
      <headerFooter alignWithMargins="0">
        <oddHeader xml:space="preserve">&amp;LOrdinance #  (pay plan adoption)
&amp;C&amp;"Arial,Bold"&amp;16 
2016 CITY OF BELLEVUE PAY PLANS
&amp;14NON-AFFILIATED
EXECUTIVE
</oddHeader>
        <oddFooter>&amp;L* Position is exempt from overtime.&amp;C&amp;"Arial,Bold"&amp;16&amp;A&amp;REffective 01/01/16
System Update 01/xx/16</oddFooter>
      </headerFooter>
    </customSheetView>
    <customSheetView guid="{49073133-97C6-4E81-BEFE-D9E658C173F7}" showPageBreaks="1" fitToPage="1" printArea="1" view="pageLayout">
      <selection sqref="A1:A2"/>
      <pageMargins left="0.25" right="0.25" top="1.75" bottom="1" header="0.5" footer="0.5"/>
      <printOptions horizontalCentered="1" gridLines="1"/>
      <pageSetup scale="60" orientation="portrait" r:id="rId3"/>
      <headerFooter alignWithMargins="0">
        <oddHeader xml:space="preserve">&amp;LOrdinance #  (pay plan adoption)
&amp;C&amp;"Arial,Bold"&amp;16 
2016 CITY OF BELLEVUE PAY PLANS
&amp;14NON-AFFILIATED
EXECUTIVE
</oddHeader>
        <oddFooter>&amp;L* Position is exempt from overtime.&amp;C&amp;"Arial,Bold"&amp;16&amp;A&amp;REffective 01/01/16
System Update 01/xx/16</oddFooter>
      </headerFooter>
    </customSheetView>
  </customSheetViews>
  <mergeCells count="8">
    <mergeCell ref="B1:B2"/>
    <mergeCell ref="A1:A2"/>
    <mergeCell ref="C1:C2"/>
    <mergeCell ref="D1:D2"/>
    <mergeCell ref="L1:N1"/>
    <mergeCell ref="F1:F2"/>
    <mergeCell ref="G1:G2"/>
    <mergeCell ref="E1:E2"/>
  </mergeCells>
  <phoneticPr fontId="7" type="noConversion"/>
  <printOptions horizontalCentered="1" gridLines="1"/>
  <pageMargins left="0.25" right="0.25" top="1.75" bottom="1" header="0.5" footer="0.5"/>
  <pageSetup scale="94" orientation="portrait" r:id="rId4"/>
  <headerFooter alignWithMargins="0">
    <oddHeader xml:space="preserve">&amp;LOrdinance #6333 (pay plan adoption)
&amp;C&amp;"Times New Roman,Bold"&amp;16 
2017 CITY OF BELLEVUE PAY PLANS
NON-AFFILIATED
EXECUTIVE
</oddHeader>
    <oddFooter>&amp;L* Position is exempt from overtime.&amp;C&amp;"Arial,Bold"&amp;16&amp;A&amp;REffective 01/01/17
System Update 01/xx/17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62"/>
  <sheetViews>
    <sheetView view="pageLayout" zoomScaleNormal="100" workbookViewId="0">
      <selection sqref="A1:A2"/>
    </sheetView>
  </sheetViews>
  <sheetFormatPr defaultColWidth="9.140625" defaultRowHeight="12.75" x14ac:dyDescent="0.2"/>
  <cols>
    <col min="1" max="1" width="5" style="249" customWidth="1"/>
    <col min="2" max="2" width="7.5703125" style="273" customWidth="1"/>
    <col min="3" max="3" width="25.7109375" style="246" bestFit="1" customWidth="1"/>
    <col min="4" max="6" width="10.7109375" style="274" customWidth="1"/>
    <col min="7" max="8" width="11.140625" style="274" bestFit="1" customWidth="1"/>
    <col min="9" max="9" width="11.5703125" style="246" customWidth="1"/>
    <col min="10" max="10" width="20.7109375" style="246" bestFit="1" customWidth="1"/>
    <col min="11" max="11" width="9.140625" style="246"/>
    <col min="12" max="12" width="17" style="246" bestFit="1" customWidth="1"/>
    <col min="13" max="17" width="9.140625" style="246"/>
    <col min="18" max="18" width="17.28515625" style="246" bestFit="1" customWidth="1"/>
    <col min="19" max="23" width="10.28515625" style="246" bestFit="1" customWidth="1"/>
    <col min="24" max="16384" width="9.140625" style="246"/>
  </cols>
  <sheetData>
    <row r="1" spans="1:23" s="261" customFormat="1" x14ac:dyDescent="0.2">
      <c r="A1" s="563" t="s">
        <v>559</v>
      </c>
      <c r="B1" s="565" t="s">
        <v>0</v>
      </c>
      <c r="C1" s="565" t="s">
        <v>1</v>
      </c>
      <c r="D1" s="562" t="s">
        <v>2</v>
      </c>
      <c r="E1" s="562"/>
      <c r="F1" s="562"/>
      <c r="G1" s="562"/>
      <c r="H1" s="562"/>
      <c r="I1" s="399">
        <v>2015</v>
      </c>
      <c r="J1" s="318"/>
      <c r="L1" s="308" t="s">
        <v>953</v>
      </c>
      <c r="M1" s="544" t="s">
        <v>2</v>
      </c>
      <c r="N1" s="544"/>
      <c r="O1" s="544"/>
      <c r="P1" s="544"/>
      <c r="R1" s="319" t="s">
        <v>554</v>
      </c>
    </row>
    <row r="2" spans="1:23" s="264" customFormat="1" x14ac:dyDescent="0.2">
      <c r="A2" s="564"/>
      <c r="B2" s="564"/>
      <c r="C2" s="566"/>
      <c r="D2" s="320">
        <v>1</v>
      </c>
      <c r="E2" s="320">
        <v>2</v>
      </c>
      <c r="F2" s="320">
        <v>3</v>
      </c>
      <c r="G2" s="320">
        <v>4</v>
      </c>
      <c r="H2" s="320">
        <v>5</v>
      </c>
      <c r="I2" s="398"/>
      <c r="J2" s="321"/>
      <c r="L2" s="322">
        <v>1.027E-2</v>
      </c>
      <c r="M2" s="265" t="s">
        <v>455</v>
      </c>
      <c r="N2" s="265" t="s">
        <v>456</v>
      </c>
      <c r="O2" s="265" t="s">
        <v>457</v>
      </c>
      <c r="P2" s="265" t="s">
        <v>458</v>
      </c>
      <c r="Q2" s="264">
        <v>5</v>
      </c>
      <c r="S2" s="264">
        <v>1</v>
      </c>
      <c r="T2" s="264">
        <v>2</v>
      </c>
      <c r="U2" s="264">
        <v>3</v>
      </c>
      <c r="V2" s="264">
        <v>4</v>
      </c>
      <c r="W2" s="264">
        <v>5</v>
      </c>
    </row>
    <row r="3" spans="1:23" x14ac:dyDescent="0.2">
      <c r="A3" s="249" t="s">
        <v>59</v>
      </c>
      <c r="B3" s="266" t="s">
        <v>340</v>
      </c>
      <c r="C3" s="251" t="s">
        <v>444</v>
      </c>
      <c r="D3" s="323">
        <f>+H3*78.65%</f>
        <v>5715.2108098389344</v>
      </c>
      <c r="E3" s="257">
        <f>+H3*82.49%</f>
        <v>5994.2497101540193</v>
      </c>
      <c r="F3" s="323">
        <f>+H3*88.46%</f>
        <v>6428.0680004876294</v>
      </c>
      <c r="G3" s="257">
        <f>+H3*94.17%</f>
        <v>6842.9930319457389</v>
      </c>
      <c r="H3" s="324">
        <f>7110.2133356543*1.022</f>
        <v>7266.6380290386951</v>
      </c>
      <c r="I3" s="253" t="s">
        <v>10</v>
      </c>
      <c r="J3" s="253"/>
      <c r="L3" s="312" t="s">
        <v>460</v>
      </c>
      <c r="M3" s="291">
        <f>(E3-D3)/D3</f>
        <v>4.8823903369357734E-2</v>
      </c>
      <c r="N3" s="291">
        <f>(F3-E3)/E3</f>
        <v>7.237240877682144E-2</v>
      </c>
      <c r="O3" s="291">
        <f>(G3-F3)/F3</f>
        <v>6.4548948677368309E-2</v>
      </c>
      <c r="P3" s="291">
        <f>(H3-G3)/G3</f>
        <v>6.1909312944674562E-2</v>
      </c>
      <c r="R3" s="325" t="s">
        <v>555</v>
      </c>
      <c r="S3" s="326">
        <f>T3/1.05</f>
        <v>5978.2810899069373</v>
      </c>
      <c r="T3" s="326">
        <f>U3/1.05</f>
        <v>6277.1951444022843</v>
      </c>
      <c r="U3" s="326">
        <f>V3/1.05</f>
        <v>6591.0549016223986</v>
      </c>
      <c r="V3" s="326">
        <f>W3/1.05</f>
        <v>6920.6076467035191</v>
      </c>
      <c r="W3" s="326">
        <f>H3</f>
        <v>7266.6380290386951</v>
      </c>
    </row>
    <row r="4" spans="1:23" x14ac:dyDescent="0.2">
      <c r="B4" s="249"/>
      <c r="C4" s="253"/>
      <c r="D4" s="257">
        <f>12*D3</f>
        <v>68582.529718067206</v>
      </c>
      <c r="E4" s="257">
        <f>12*E3</f>
        <v>71930.996521848225</v>
      </c>
      <c r="F4" s="257">
        <f>12*F3</f>
        <v>77136.81600585155</v>
      </c>
      <c r="G4" s="257">
        <f>12*G3</f>
        <v>82115.916383348871</v>
      </c>
      <c r="H4" s="257">
        <f>12*H3</f>
        <v>87199.656348464341</v>
      </c>
      <c r="I4" s="253" t="s">
        <v>529</v>
      </c>
      <c r="J4" s="253"/>
      <c r="L4" s="312" t="s">
        <v>461</v>
      </c>
      <c r="M4" s="291">
        <f>(H3-D3)/D3</f>
        <v>0.27145581691036219</v>
      </c>
      <c r="R4" s="312" t="s">
        <v>461</v>
      </c>
      <c r="S4" s="327">
        <f>(W3-S3)/S3</f>
        <v>0.21550625000000015</v>
      </c>
      <c r="T4" s="328"/>
      <c r="U4" s="328"/>
      <c r="V4" s="328"/>
      <c r="W4" s="328"/>
    </row>
    <row r="5" spans="1:23" x14ac:dyDescent="0.2">
      <c r="B5" s="249"/>
      <c r="C5" s="253"/>
      <c r="D5" s="252">
        <f>D4/2080</f>
        <v>32.972370056763083</v>
      </c>
      <c r="E5" s="252">
        <f>E4/2080</f>
        <v>34.582209866273182</v>
      </c>
      <c r="F5" s="252">
        <f>F4/2080</f>
        <v>37.085007695120936</v>
      </c>
      <c r="G5" s="252">
        <f>G4/2080</f>
        <v>39.478805953533112</v>
      </c>
      <c r="H5" s="252">
        <f>H4/2080</f>
        <v>41.922911705992469</v>
      </c>
      <c r="I5" s="253" t="s">
        <v>11</v>
      </c>
      <c r="J5" s="253"/>
      <c r="L5" s="312" t="s">
        <v>462</v>
      </c>
      <c r="M5" s="291">
        <f>(D14-D3)/D3</f>
        <v>5.0000000000000017E-2</v>
      </c>
      <c r="N5" s="291">
        <f>(E14-E3)/E3</f>
        <v>4.9999999999999982E-2</v>
      </c>
      <c r="O5" s="291">
        <f>(F14-F3)/F3</f>
        <v>4.999999999999992E-2</v>
      </c>
      <c r="P5" s="291">
        <f>(G14-G3)/G3</f>
        <v>4.9999999999999968E-2</v>
      </c>
      <c r="Q5" s="291">
        <f>(H14-H3)/H3</f>
        <v>0.05</v>
      </c>
      <c r="R5" s="312"/>
      <c r="S5" s="328"/>
      <c r="T5" s="328"/>
      <c r="U5" s="328"/>
      <c r="V5" s="328"/>
      <c r="W5" s="328"/>
    </row>
    <row r="6" spans="1:23" x14ac:dyDescent="0.2">
      <c r="B6" s="249"/>
      <c r="C6" s="253"/>
      <c r="D6" s="257">
        <f>D4/2505.36</f>
        <v>27.374321342269056</v>
      </c>
      <c r="E6" s="257">
        <f>E4/2505.36</f>
        <v>28.710842562285748</v>
      </c>
      <c r="F6" s="257">
        <f>F4/2505.36</f>
        <v>30.788715396530456</v>
      </c>
      <c r="G6" s="257">
        <f>G4/2505.36</f>
        <v>32.776094606503207</v>
      </c>
      <c r="H6" s="257">
        <f>H4/2505.36</f>
        <v>34.805240104601467</v>
      </c>
      <c r="I6" s="253" t="s">
        <v>56</v>
      </c>
      <c r="J6" s="253"/>
      <c r="S6" s="328"/>
      <c r="T6" s="328"/>
      <c r="U6" s="328"/>
      <c r="V6" s="328"/>
      <c r="W6" s="328"/>
    </row>
    <row r="7" spans="1:23" x14ac:dyDescent="0.2">
      <c r="B7" s="249"/>
      <c r="C7" s="253"/>
      <c r="D7" s="257"/>
      <c r="E7" s="257"/>
      <c r="F7" s="257"/>
      <c r="G7" s="257"/>
      <c r="H7" s="257"/>
      <c r="I7" s="253"/>
      <c r="J7" s="253"/>
      <c r="S7" s="328"/>
      <c r="T7" s="328"/>
      <c r="U7" s="328"/>
      <c r="V7" s="328"/>
      <c r="W7" s="328"/>
    </row>
    <row r="8" spans="1:23" x14ac:dyDescent="0.2">
      <c r="B8" s="249"/>
      <c r="C8" s="253"/>
      <c r="D8" s="257"/>
      <c r="E8" s="257"/>
      <c r="F8" s="257"/>
      <c r="G8" s="257"/>
      <c r="H8" s="257"/>
      <c r="I8" s="253"/>
      <c r="J8" s="253"/>
      <c r="S8" s="328"/>
      <c r="T8" s="328"/>
      <c r="U8" s="328"/>
      <c r="V8" s="328"/>
      <c r="W8" s="328"/>
    </row>
    <row r="9" spans="1:23" x14ac:dyDescent="0.2">
      <c r="A9" s="249" t="s">
        <v>59</v>
      </c>
      <c r="B9" s="266" t="s">
        <v>340</v>
      </c>
      <c r="C9" s="251" t="s">
        <v>677</v>
      </c>
      <c r="D9" s="257"/>
      <c r="E9" s="257"/>
      <c r="F9" s="257"/>
      <c r="G9" s="257"/>
      <c r="H9" s="257">
        <f>+H3*106%</f>
        <v>7702.6363107810175</v>
      </c>
      <c r="I9" s="253" t="s">
        <v>10</v>
      </c>
      <c r="J9" s="253" t="s">
        <v>702</v>
      </c>
      <c r="S9" s="328"/>
      <c r="T9" s="328"/>
      <c r="U9" s="328"/>
      <c r="V9" s="328"/>
      <c r="W9" s="328"/>
    </row>
    <row r="10" spans="1:23" x14ac:dyDescent="0.2">
      <c r="B10" s="249"/>
      <c r="C10" s="253"/>
      <c r="D10" s="257"/>
      <c r="E10" s="257"/>
      <c r="F10" s="257"/>
      <c r="G10" s="257"/>
      <c r="H10" s="257">
        <f>12*H9</f>
        <v>92431.63572937221</v>
      </c>
      <c r="I10" s="253" t="s">
        <v>529</v>
      </c>
      <c r="J10" s="253"/>
      <c r="S10" s="328"/>
      <c r="T10" s="328"/>
      <c r="U10" s="328"/>
      <c r="V10" s="328"/>
      <c r="W10" s="328"/>
    </row>
    <row r="11" spans="1:23" x14ac:dyDescent="0.2">
      <c r="B11" s="249"/>
      <c r="C11" s="253"/>
      <c r="D11" s="257"/>
      <c r="E11" s="257"/>
      <c r="F11" s="257"/>
      <c r="G11" s="257"/>
      <c r="H11" s="252">
        <f>H10/2080</f>
        <v>44.438286408352027</v>
      </c>
      <c r="I11" s="253" t="s">
        <v>11</v>
      </c>
      <c r="J11" s="253"/>
      <c r="S11" s="328"/>
      <c r="T11" s="328"/>
      <c r="U11" s="328"/>
      <c r="V11" s="328"/>
      <c r="W11" s="328"/>
    </row>
    <row r="12" spans="1:23" x14ac:dyDescent="0.2">
      <c r="B12" s="249"/>
      <c r="C12" s="253"/>
      <c r="D12" s="257"/>
      <c r="E12" s="257"/>
      <c r="F12" s="257"/>
      <c r="G12" s="257"/>
      <c r="H12" s="257">
        <f>H10/2505.36</f>
        <v>36.893554510877564</v>
      </c>
      <c r="I12" s="253" t="s">
        <v>56</v>
      </c>
      <c r="J12" s="253"/>
      <c r="S12" s="328"/>
      <c r="T12" s="328"/>
      <c r="U12" s="328"/>
      <c r="V12" s="328"/>
      <c r="W12" s="328"/>
    </row>
    <row r="13" spans="1:23" x14ac:dyDescent="0.2">
      <c r="B13" s="249"/>
      <c r="C13" s="253"/>
      <c r="D13" s="257"/>
      <c r="E13" s="257"/>
      <c r="F13" s="257"/>
      <c r="G13" s="257"/>
      <c r="H13" s="257"/>
      <c r="I13" s="253"/>
      <c r="J13" s="253"/>
      <c r="S13" s="328"/>
      <c r="T13" s="328"/>
      <c r="U13" s="328"/>
      <c r="V13" s="328"/>
      <c r="W13" s="328"/>
    </row>
    <row r="14" spans="1:23" x14ac:dyDescent="0.2">
      <c r="A14" s="266" t="s">
        <v>425</v>
      </c>
      <c r="B14" s="266" t="s">
        <v>342</v>
      </c>
      <c r="C14" s="251" t="s">
        <v>445</v>
      </c>
      <c r="D14" s="323">
        <f>+H14*78.65%</f>
        <v>6000.9713503308813</v>
      </c>
      <c r="E14" s="257">
        <f>+H14*82.49%</f>
        <v>6293.9621956617202</v>
      </c>
      <c r="F14" s="323">
        <f>+H14*88.46%</f>
        <v>6749.4714005120104</v>
      </c>
      <c r="G14" s="257">
        <f>+H14*94.17%</f>
        <v>7185.1426835430257</v>
      </c>
      <c r="H14" s="257">
        <f>H3*1.05</f>
        <v>7629.9699304906298</v>
      </c>
      <c r="I14" s="253" t="s">
        <v>10</v>
      </c>
      <c r="J14" s="253" t="s">
        <v>703</v>
      </c>
      <c r="L14" s="312" t="s">
        <v>460</v>
      </c>
      <c r="M14" s="291">
        <f>(E14-D14)/D14</f>
        <v>4.8823903369357706E-2</v>
      </c>
      <c r="N14" s="291">
        <f>(F14-E14)/E14</f>
        <v>7.237240877682137E-2</v>
      </c>
      <c r="O14" s="291">
        <f>(G14-F14)/F14</f>
        <v>6.4548948677368351E-2</v>
      </c>
      <c r="P14" s="291">
        <f>(H14-G14)/G14</f>
        <v>6.190931294467459E-2</v>
      </c>
    </row>
    <row r="15" spans="1:23" x14ac:dyDescent="0.2">
      <c r="B15" s="266"/>
      <c r="C15" s="253"/>
      <c r="D15" s="257">
        <f>12*D14</f>
        <v>72011.656203970575</v>
      </c>
      <c r="E15" s="257">
        <f>12*E14</f>
        <v>75527.546347940646</v>
      </c>
      <c r="F15" s="257">
        <f>12*F14</f>
        <v>80993.656806144121</v>
      </c>
      <c r="G15" s="257">
        <f>12*G14</f>
        <v>86221.712202516312</v>
      </c>
      <c r="H15" s="257">
        <f>12*H14</f>
        <v>91559.639165887551</v>
      </c>
      <c r="I15" s="253" t="s">
        <v>529</v>
      </c>
      <c r="J15" s="253"/>
      <c r="L15" s="312" t="s">
        <v>461</v>
      </c>
      <c r="M15" s="291">
        <f>(H14-D14)/D14</f>
        <v>0.27145581691036219</v>
      </c>
    </row>
    <row r="16" spans="1:23" x14ac:dyDescent="0.2">
      <c r="B16" s="266"/>
      <c r="C16" s="253"/>
      <c r="D16" s="252">
        <f>D15/2080</f>
        <v>34.620988559601237</v>
      </c>
      <c r="E16" s="252">
        <f>E15/2080</f>
        <v>36.311320359586851</v>
      </c>
      <c r="F16" s="252">
        <f>F15/2080</f>
        <v>38.939258079876979</v>
      </c>
      <c r="G16" s="252">
        <f>G15/2080</f>
        <v>41.452746251209767</v>
      </c>
      <c r="H16" s="252">
        <f>H15/2080</f>
        <v>44.019057291292093</v>
      </c>
      <c r="I16" s="253" t="s">
        <v>11</v>
      </c>
      <c r="J16" s="253"/>
      <c r="L16" s="312" t="s">
        <v>462</v>
      </c>
      <c r="M16" s="291">
        <f>(D19-D14)/D14</f>
        <v>9.5238095238095261E-2</v>
      </c>
      <c r="N16" s="291">
        <f>(E19-E14)/E14</f>
        <v>9.5238095238095205E-2</v>
      </c>
      <c r="O16" s="291">
        <f>(F19-F14)/F14</f>
        <v>9.5238095238095233E-2</v>
      </c>
      <c r="P16" s="291">
        <f>(G19-G14)/G14</f>
        <v>9.5238095238095302E-2</v>
      </c>
      <c r="Q16" s="291">
        <f>(H19-H14)/H14</f>
        <v>9.5238095238095233E-2</v>
      </c>
    </row>
    <row r="17" spans="1:17" x14ac:dyDescent="0.2">
      <c r="B17" s="266"/>
      <c r="C17" s="253"/>
      <c r="D17" s="257">
        <f>D15/2505.36</f>
        <v>28.743037409382513</v>
      </c>
      <c r="E17" s="257">
        <f>E15/2505.36</f>
        <v>30.146384690400041</v>
      </c>
      <c r="F17" s="257">
        <f>F15/2505.36</f>
        <v>32.328151166356974</v>
      </c>
      <c r="G17" s="257">
        <f>G15/2505.36</f>
        <v>34.414899336828363</v>
      </c>
      <c r="H17" s="257">
        <f>H15/2505.36</f>
        <v>36.545502109831538</v>
      </c>
      <c r="I17" s="253" t="s">
        <v>56</v>
      </c>
      <c r="J17" s="253"/>
    </row>
    <row r="18" spans="1:17" x14ac:dyDescent="0.2">
      <c r="B18" s="266"/>
      <c r="C18" s="253"/>
      <c r="D18" s="257"/>
      <c r="E18" s="257"/>
      <c r="F18" s="257"/>
      <c r="G18" s="257"/>
      <c r="H18" s="257"/>
      <c r="I18" s="253"/>
      <c r="J18" s="253"/>
    </row>
    <row r="19" spans="1:17" x14ac:dyDescent="0.2">
      <c r="A19" s="266" t="s">
        <v>60</v>
      </c>
      <c r="B19" s="266" t="s">
        <v>341</v>
      </c>
      <c r="C19" s="251" t="s">
        <v>446</v>
      </c>
      <c r="D19" s="323">
        <f>+H19*78.65%</f>
        <v>6572.4924313147749</v>
      </c>
      <c r="E19" s="257">
        <f>+H19*82.49%</f>
        <v>6893.387166677122</v>
      </c>
      <c r="F19" s="323">
        <f>+H19*88.46%</f>
        <v>7392.2782005607733</v>
      </c>
      <c r="G19" s="257">
        <f>+H19*94.17%</f>
        <v>7869.4419867376</v>
      </c>
      <c r="H19" s="257">
        <f>H3*1.15</f>
        <v>8356.6337333944994</v>
      </c>
      <c r="I19" s="253" t="s">
        <v>10</v>
      </c>
      <c r="J19" s="253" t="s">
        <v>704</v>
      </c>
      <c r="L19" s="312" t="s">
        <v>460</v>
      </c>
      <c r="M19" s="291">
        <f>(E19-D19)/D19</f>
        <v>4.882390336935765E-2</v>
      </c>
      <c r="N19" s="291">
        <f>(F19-E19)/E19</f>
        <v>7.2372408776821398E-2</v>
      </c>
      <c r="O19" s="291">
        <f>(G19-F19)/F19</f>
        <v>6.454894867736842E-2</v>
      </c>
      <c r="P19" s="291">
        <f>(H19-G19)/G19</f>
        <v>6.1909312944674527E-2</v>
      </c>
    </row>
    <row r="20" spans="1:17" x14ac:dyDescent="0.2">
      <c r="B20" s="266"/>
      <c r="C20" s="253"/>
      <c r="D20" s="257">
        <f>12*D19</f>
        <v>78869.909175777299</v>
      </c>
      <c r="E20" s="257">
        <f>12*E19</f>
        <v>82720.64600012546</v>
      </c>
      <c r="F20" s="257">
        <f>12*F19</f>
        <v>88707.338406729279</v>
      </c>
      <c r="G20" s="257">
        <f>12*G19</f>
        <v>94433.303840851207</v>
      </c>
      <c r="H20" s="257">
        <f>12*H19</f>
        <v>100279.604800734</v>
      </c>
      <c r="I20" s="253" t="s">
        <v>529</v>
      </c>
      <c r="J20" s="253"/>
      <c r="L20" s="312" t="s">
        <v>461</v>
      </c>
      <c r="M20" s="291">
        <f>(H19-D19)/D19</f>
        <v>0.27145581691036214</v>
      </c>
    </row>
    <row r="21" spans="1:17" x14ac:dyDescent="0.2">
      <c r="B21" s="266"/>
      <c r="C21" s="253"/>
      <c r="D21" s="252">
        <f>D20/2080</f>
        <v>37.918225565277545</v>
      </c>
      <c r="E21" s="252">
        <f>E20/2080</f>
        <v>39.769541346214162</v>
      </c>
      <c r="F21" s="252">
        <f>F20/2080</f>
        <v>42.647758849389078</v>
      </c>
      <c r="G21" s="252">
        <f>G20/2080</f>
        <v>45.400626846563078</v>
      </c>
      <c r="H21" s="252">
        <f>H20/2080</f>
        <v>48.211348461891347</v>
      </c>
      <c r="I21" s="253" t="s">
        <v>11</v>
      </c>
      <c r="J21" s="253"/>
      <c r="L21" s="312" t="s">
        <v>462</v>
      </c>
      <c r="M21" s="291"/>
      <c r="N21" s="291"/>
      <c r="O21" s="291"/>
      <c r="P21" s="291">
        <f>(G24-G19)/G19</f>
        <v>0</v>
      </c>
      <c r="Q21" s="291">
        <f>(H24-H19)/H19</f>
        <v>0</v>
      </c>
    </row>
    <row r="22" spans="1:17" x14ac:dyDescent="0.2">
      <c r="B22" s="266"/>
      <c r="C22" s="253"/>
      <c r="D22" s="257">
        <f>D20/2505.36</f>
        <v>31.48046954360942</v>
      </c>
      <c r="E22" s="257">
        <f>E20/2505.36</f>
        <v>33.017468946628611</v>
      </c>
      <c r="F22" s="257">
        <f>F20/2505.36</f>
        <v>35.407022706010025</v>
      </c>
      <c r="G22" s="257">
        <f>G20/2505.36</f>
        <v>37.692508797478688</v>
      </c>
      <c r="H22" s="257">
        <f>H20/2505.36</f>
        <v>40.026026120291689</v>
      </c>
      <c r="I22" s="253" t="s">
        <v>56</v>
      </c>
      <c r="J22" s="253"/>
    </row>
    <row r="23" spans="1:17" x14ac:dyDescent="0.2">
      <c r="B23" s="266"/>
      <c r="C23" s="253"/>
      <c r="D23" s="257"/>
      <c r="E23" s="257"/>
      <c r="F23" s="257"/>
      <c r="G23" s="257"/>
      <c r="H23" s="257"/>
      <c r="I23" s="253"/>
      <c r="J23" s="253"/>
    </row>
    <row r="24" spans="1:17" x14ac:dyDescent="0.2">
      <c r="A24" s="266" t="s">
        <v>426</v>
      </c>
      <c r="B24" s="266" t="s">
        <v>345</v>
      </c>
      <c r="C24" s="251" t="s">
        <v>447</v>
      </c>
      <c r="D24" s="257"/>
      <c r="E24" s="257"/>
      <c r="F24" s="329"/>
      <c r="G24" s="257">
        <f>+H24*94.17%</f>
        <v>7869.4419867376</v>
      </c>
      <c r="H24" s="257">
        <f>H3*1.15</f>
        <v>8356.6337333944994</v>
      </c>
      <c r="I24" s="253" t="s">
        <v>10</v>
      </c>
      <c r="J24" s="253" t="s">
        <v>704</v>
      </c>
      <c r="L24" s="312" t="s">
        <v>460</v>
      </c>
      <c r="M24" s="291"/>
      <c r="N24" s="291"/>
      <c r="O24" s="291"/>
      <c r="P24" s="291">
        <f>(H24-G24)/G24</f>
        <v>6.1909312944674527E-2</v>
      </c>
    </row>
    <row r="25" spans="1:17" x14ac:dyDescent="0.2">
      <c r="B25" s="266"/>
      <c r="C25" s="253"/>
      <c r="D25" s="257"/>
      <c r="E25" s="257"/>
      <c r="F25" s="257"/>
      <c r="G25" s="257">
        <f>12*G24</f>
        <v>94433.303840851207</v>
      </c>
      <c r="H25" s="257">
        <f>12*H24</f>
        <v>100279.604800734</v>
      </c>
      <c r="I25" s="253" t="s">
        <v>529</v>
      </c>
      <c r="J25" s="253"/>
      <c r="L25" s="312" t="s">
        <v>461</v>
      </c>
      <c r="M25" s="291">
        <f>(H24-G24)/G24</f>
        <v>6.1909312944674527E-2</v>
      </c>
    </row>
    <row r="26" spans="1:17" x14ac:dyDescent="0.2">
      <c r="B26" s="249"/>
      <c r="C26" s="253"/>
      <c r="D26" s="257"/>
      <c r="E26" s="257"/>
      <c r="F26" s="257"/>
      <c r="G26" s="252">
        <f>G25/2080</f>
        <v>45.400626846563078</v>
      </c>
      <c r="H26" s="252">
        <f>H25/2080</f>
        <v>48.211348461891347</v>
      </c>
      <c r="I26" s="253" t="s">
        <v>11</v>
      </c>
      <c r="J26" s="253"/>
      <c r="L26" s="312" t="s">
        <v>462</v>
      </c>
      <c r="M26" s="291"/>
      <c r="N26" s="291"/>
      <c r="O26" s="291"/>
      <c r="P26" s="291">
        <f>(G29-G24)/G24</f>
        <v>0.10000000000000002</v>
      </c>
      <c r="Q26" s="291">
        <f>(H29-H24)/H24</f>
        <v>0.10000000000000002</v>
      </c>
    </row>
    <row r="27" spans="1:17" x14ac:dyDescent="0.2">
      <c r="B27" s="249"/>
      <c r="C27" s="253"/>
      <c r="D27" s="257"/>
      <c r="E27" s="257"/>
      <c r="F27" s="257"/>
      <c r="G27" s="257">
        <f>G25/2505.36</f>
        <v>37.692508797478688</v>
      </c>
      <c r="H27" s="257">
        <f>H25/2505.36</f>
        <v>40.026026120291689</v>
      </c>
      <c r="I27" s="253" t="s">
        <v>56</v>
      </c>
      <c r="J27" s="253"/>
    </row>
    <row r="28" spans="1:17" x14ac:dyDescent="0.2">
      <c r="B28" s="249"/>
      <c r="C28" s="253"/>
      <c r="D28" s="257"/>
      <c r="E28" s="257"/>
      <c r="F28" s="257"/>
      <c r="G28" s="257"/>
      <c r="H28" s="257"/>
      <c r="I28" s="253"/>
      <c r="J28" s="253"/>
    </row>
    <row r="29" spans="1:17" x14ac:dyDescent="0.2">
      <c r="A29" s="266" t="s">
        <v>427</v>
      </c>
      <c r="B29" s="266" t="s">
        <v>343</v>
      </c>
      <c r="C29" s="251" t="s">
        <v>448</v>
      </c>
      <c r="D29" s="257"/>
      <c r="E29" s="257"/>
      <c r="F29" s="257"/>
      <c r="G29" s="257">
        <f>+H29*94.17%</f>
        <v>8656.3861854113602</v>
      </c>
      <c r="H29" s="257">
        <f>+H3*126.5%</f>
        <v>9192.2971067339495</v>
      </c>
      <c r="I29" s="253" t="s">
        <v>10</v>
      </c>
      <c r="J29" s="253" t="s">
        <v>705</v>
      </c>
      <c r="L29" s="312" t="s">
        <v>460</v>
      </c>
      <c r="M29" s="291"/>
      <c r="N29" s="291"/>
      <c r="O29" s="291"/>
      <c r="P29" s="291">
        <f>(H29-G29)/G29</f>
        <v>6.1909312944674527E-2</v>
      </c>
    </row>
    <row r="30" spans="1:17" x14ac:dyDescent="0.2">
      <c r="B30" s="266"/>
      <c r="C30" s="253"/>
      <c r="D30" s="257"/>
      <c r="E30" s="257"/>
      <c r="F30" s="257"/>
      <c r="G30" s="257">
        <f>12*G29</f>
        <v>103876.63422493632</v>
      </c>
      <c r="H30" s="257">
        <f>12*H29</f>
        <v>110307.56528080739</v>
      </c>
      <c r="I30" s="253" t="s">
        <v>529</v>
      </c>
      <c r="J30" s="253"/>
      <c r="L30" s="312" t="s">
        <v>461</v>
      </c>
      <c r="M30" s="291">
        <f>(H29-G29)/G29</f>
        <v>6.1909312944674527E-2</v>
      </c>
    </row>
    <row r="31" spans="1:17" x14ac:dyDescent="0.2">
      <c r="B31" s="249"/>
      <c r="C31" s="253"/>
      <c r="D31" s="257"/>
      <c r="E31" s="257"/>
      <c r="F31" s="257"/>
      <c r="G31" s="252">
        <f>G30/2080</f>
        <v>49.940689531219384</v>
      </c>
      <c r="H31" s="252">
        <f>H30/2080</f>
        <v>53.032483308080479</v>
      </c>
      <c r="I31" s="253" t="s">
        <v>11</v>
      </c>
      <c r="J31" s="253"/>
      <c r="L31" s="312" t="s">
        <v>462</v>
      </c>
      <c r="M31" s="291"/>
      <c r="N31" s="291"/>
      <c r="O31" s="291"/>
      <c r="P31" s="291">
        <f>(G34-G29)/G29</f>
        <v>0</v>
      </c>
      <c r="Q31" s="291">
        <f>(H34-H29)/H29</f>
        <v>0</v>
      </c>
    </row>
    <row r="32" spans="1:17" x14ac:dyDescent="0.2">
      <c r="B32" s="266"/>
      <c r="C32" s="253"/>
      <c r="D32" s="257"/>
      <c r="E32" s="257"/>
      <c r="F32" s="257"/>
      <c r="G32" s="257">
        <f>G30/2505.36</f>
        <v>41.461759677226553</v>
      </c>
      <c r="H32" s="257">
        <f>H30/2505.36</f>
        <v>44.028628732320861</v>
      </c>
      <c r="I32" s="253" t="s">
        <v>56</v>
      </c>
      <c r="J32" s="253"/>
    </row>
    <row r="33" spans="1:17" x14ac:dyDescent="0.2">
      <c r="B33" s="266"/>
      <c r="C33" s="253"/>
      <c r="D33" s="257"/>
      <c r="E33" s="257"/>
      <c r="F33" s="257"/>
      <c r="G33" s="257"/>
      <c r="H33" s="257"/>
      <c r="I33" s="253"/>
      <c r="J33" s="253"/>
    </row>
    <row r="34" spans="1:17" x14ac:dyDescent="0.2">
      <c r="A34" s="266" t="s">
        <v>428</v>
      </c>
      <c r="B34" s="266" t="s">
        <v>344</v>
      </c>
      <c r="C34" s="251" t="s">
        <v>449</v>
      </c>
      <c r="D34" s="257"/>
      <c r="E34" s="257"/>
      <c r="F34" s="270"/>
      <c r="G34" s="257">
        <f>+H34*94.17%</f>
        <v>8656.3861854113602</v>
      </c>
      <c r="H34" s="257">
        <f>+H3*126.5%</f>
        <v>9192.2971067339495</v>
      </c>
      <c r="I34" s="253" t="s">
        <v>10</v>
      </c>
      <c r="J34" s="253" t="s">
        <v>705</v>
      </c>
      <c r="L34" s="312" t="s">
        <v>460</v>
      </c>
      <c r="M34" s="291"/>
      <c r="N34" s="291"/>
      <c r="O34" s="291"/>
      <c r="P34" s="291">
        <f>(H34-G34)/G34</f>
        <v>6.1909312944674527E-2</v>
      </c>
    </row>
    <row r="35" spans="1:17" x14ac:dyDescent="0.2">
      <c r="B35" s="266"/>
      <c r="C35" s="253"/>
      <c r="D35" s="257"/>
      <c r="E35" s="257"/>
      <c r="F35" s="257"/>
      <c r="G35" s="257">
        <f>12*G34</f>
        <v>103876.63422493632</v>
      </c>
      <c r="H35" s="257">
        <f>12*H34</f>
        <v>110307.56528080739</v>
      </c>
      <c r="I35" s="253" t="s">
        <v>529</v>
      </c>
      <c r="J35" s="253"/>
      <c r="L35" s="312" t="s">
        <v>461</v>
      </c>
      <c r="M35" s="291">
        <f>(H34-G34)/G34</f>
        <v>6.1909312944674527E-2</v>
      </c>
    </row>
    <row r="36" spans="1:17" x14ac:dyDescent="0.2">
      <c r="B36" s="266"/>
      <c r="C36" s="253"/>
      <c r="D36" s="257"/>
      <c r="E36" s="257"/>
      <c r="F36" s="257"/>
      <c r="G36" s="252">
        <f>G35/2080</f>
        <v>49.940689531219384</v>
      </c>
      <c r="H36" s="252">
        <f>H35/2080</f>
        <v>53.032483308080479</v>
      </c>
      <c r="I36" s="253" t="s">
        <v>11</v>
      </c>
      <c r="J36" s="253"/>
      <c r="L36" s="312" t="s">
        <v>462</v>
      </c>
      <c r="M36" s="291"/>
      <c r="N36" s="291"/>
      <c r="O36" s="291"/>
      <c r="P36" s="291">
        <f>(G39-G34)/G34</f>
        <v>9.9999999999999964E-2</v>
      </c>
      <c r="Q36" s="291">
        <f>(H39-H34)/H34</f>
        <v>0.1</v>
      </c>
    </row>
    <row r="37" spans="1:17" x14ac:dyDescent="0.2">
      <c r="B37" s="266"/>
      <c r="C37" s="253"/>
      <c r="D37" s="257"/>
      <c r="E37" s="257"/>
      <c r="F37" s="257"/>
      <c r="G37" s="257">
        <f>G35/2505.36</f>
        <v>41.461759677226553</v>
      </c>
      <c r="H37" s="257">
        <f>H35/2505.36</f>
        <v>44.028628732320861</v>
      </c>
      <c r="I37" s="253" t="s">
        <v>56</v>
      </c>
      <c r="J37" s="253"/>
    </row>
    <row r="38" spans="1:17" x14ac:dyDescent="0.2">
      <c r="B38" s="266"/>
      <c r="C38" s="253"/>
      <c r="D38" s="257"/>
      <c r="E38" s="257"/>
      <c r="F38" s="257"/>
      <c r="G38" s="257"/>
      <c r="H38" s="257"/>
      <c r="I38" s="253"/>
      <c r="J38" s="253"/>
    </row>
    <row r="39" spans="1:17" x14ac:dyDescent="0.2">
      <c r="A39" s="266" t="s">
        <v>420</v>
      </c>
      <c r="B39" s="266" t="s">
        <v>346</v>
      </c>
      <c r="C39" s="251" t="s">
        <v>450</v>
      </c>
      <c r="D39" s="257"/>
      <c r="E39" s="257"/>
      <c r="F39" s="257"/>
      <c r="G39" s="257">
        <f>+H39*94.17%</f>
        <v>9522.0248039524959</v>
      </c>
      <c r="H39" s="257">
        <f>+H3*139.15%</f>
        <v>10111.526817407344</v>
      </c>
      <c r="I39" s="253" t="s">
        <v>10</v>
      </c>
      <c r="J39" s="253" t="s">
        <v>706</v>
      </c>
      <c r="L39" s="312" t="s">
        <v>460</v>
      </c>
      <c r="M39" s="291"/>
      <c r="N39" s="291"/>
      <c r="O39" s="291"/>
      <c r="P39" s="291">
        <f>(H39-G39)/G39</f>
        <v>6.1909312944674569E-2</v>
      </c>
      <c r="Q39" s="291"/>
    </row>
    <row r="40" spans="1:17" x14ac:dyDescent="0.2">
      <c r="B40" s="266"/>
      <c r="C40" s="253"/>
      <c r="D40" s="257"/>
      <c r="E40" s="257"/>
      <c r="F40" s="257"/>
      <c r="G40" s="257">
        <f>12*G39</f>
        <v>114264.29764742995</v>
      </c>
      <c r="H40" s="257">
        <f>12*H39</f>
        <v>121338.32180888814</v>
      </c>
      <c r="I40" s="253" t="s">
        <v>529</v>
      </c>
      <c r="J40" s="253"/>
      <c r="L40" s="312" t="s">
        <v>461</v>
      </c>
      <c r="M40" s="291">
        <f>(H39-G39)/G39</f>
        <v>6.1909312944674569E-2</v>
      </c>
    </row>
    <row r="41" spans="1:17" x14ac:dyDescent="0.2">
      <c r="B41" s="249"/>
      <c r="C41" s="253"/>
      <c r="D41" s="257"/>
      <c r="E41" s="257"/>
      <c r="F41" s="257"/>
      <c r="G41" s="252">
        <f>G40/2080</f>
        <v>54.934758484341323</v>
      </c>
      <c r="H41" s="252">
        <f>H40/2080</f>
        <v>58.335731638888532</v>
      </c>
      <c r="I41" s="253" t="s">
        <v>11</v>
      </c>
      <c r="J41" s="253"/>
    </row>
    <row r="42" spans="1:17" x14ac:dyDescent="0.2">
      <c r="B42" s="249"/>
      <c r="C42" s="253"/>
      <c r="D42" s="257"/>
      <c r="E42" s="257"/>
      <c r="F42" s="257"/>
      <c r="G42" s="257">
        <f>G40/2505.36</f>
        <v>45.607935644949208</v>
      </c>
      <c r="H42" s="257">
        <f>H40/2505.36</f>
        <v>48.431491605552949</v>
      </c>
      <c r="I42" s="253" t="s">
        <v>56</v>
      </c>
      <c r="J42" s="253"/>
    </row>
    <row r="43" spans="1:17" ht="30" customHeight="1" x14ac:dyDescent="0.2">
      <c r="A43" s="561" t="s">
        <v>1003</v>
      </c>
      <c r="B43" s="561"/>
      <c r="C43" s="561"/>
      <c r="D43" s="561"/>
      <c r="E43" s="561"/>
      <c r="F43" s="561"/>
      <c r="G43" s="561"/>
      <c r="H43" s="561"/>
      <c r="I43" s="561"/>
      <c r="J43" s="253"/>
    </row>
    <row r="44" spans="1:17" x14ac:dyDescent="0.2">
      <c r="B44" s="249"/>
      <c r="C44" s="253"/>
      <c r="D44" s="258"/>
      <c r="E44" s="258"/>
      <c r="F44" s="258"/>
      <c r="G44" s="258"/>
      <c r="H44" s="258"/>
      <c r="I44" s="253"/>
      <c r="J44" s="253"/>
    </row>
    <row r="45" spans="1:17" x14ac:dyDescent="0.2">
      <c r="B45" s="249"/>
      <c r="C45" s="253"/>
      <c r="D45" s="258"/>
      <c r="E45" s="258"/>
      <c r="F45" s="258"/>
      <c r="G45" s="258"/>
      <c r="H45" s="258"/>
      <c r="I45" s="253"/>
      <c r="J45" s="253"/>
    </row>
    <row r="46" spans="1:17" x14ac:dyDescent="0.2">
      <c r="B46" s="249"/>
      <c r="C46" s="253"/>
      <c r="D46" s="258"/>
      <c r="E46" s="258"/>
      <c r="F46" s="258"/>
      <c r="G46" s="258"/>
      <c r="H46" s="258"/>
      <c r="I46" s="253"/>
      <c r="J46" s="253"/>
    </row>
    <row r="47" spans="1:17" x14ac:dyDescent="0.2">
      <c r="B47" s="249"/>
      <c r="C47" s="253"/>
      <c r="D47" s="258"/>
      <c r="E47" s="258"/>
      <c r="F47" s="258"/>
      <c r="G47" s="258"/>
      <c r="H47" s="258"/>
      <c r="I47" s="253"/>
      <c r="J47" s="253"/>
    </row>
    <row r="48" spans="1:17" x14ac:dyDescent="0.2">
      <c r="B48" s="249"/>
      <c r="C48" s="253"/>
      <c r="D48" s="258"/>
      <c r="E48" s="258"/>
      <c r="F48" s="258"/>
      <c r="G48" s="258"/>
      <c r="H48" s="258"/>
      <c r="I48" s="253"/>
      <c r="J48" s="253"/>
    </row>
    <row r="49" spans="2:10" x14ac:dyDescent="0.2">
      <c r="B49" s="249"/>
      <c r="C49" s="253"/>
      <c r="D49" s="258"/>
      <c r="E49" s="258"/>
      <c r="F49" s="258"/>
      <c r="G49" s="258"/>
      <c r="H49" s="258"/>
      <c r="I49" s="253"/>
      <c r="J49" s="253"/>
    </row>
    <row r="50" spans="2:10" x14ac:dyDescent="0.2">
      <c r="B50" s="249"/>
      <c r="C50" s="253"/>
      <c r="D50" s="258"/>
      <c r="E50" s="258"/>
      <c r="F50" s="258"/>
      <c r="G50" s="258"/>
      <c r="H50" s="258"/>
      <c r="I50" s="253"/>
      <c r="J50" s="253"/>
    </row>
    <row r="51" spans="2:10" x14ac:dyDescent="0.2">
      <c r="B51" s="249"/>
      <c r="C51" s="253"/>
      <c r="D51" s="258"/>
      <c r="E51" s="258"/>
      <c r="F51" s="258"/>
      <c r="G51" s="258"/>
      <c r="H51" s="258"/>
      <c r="I51" s="253"/>
      <c r="J51" s="253"/>
    </row>
    <row r="52" spans="2:10" x14ac:dyDescent="0.2">
      <c r="B52" s="249"/>
      <c r="C52" s="253"/>
      <c r="D52" s="258"/>
      <c r="E52" s="258"/>
      <c r="F52" s="258"/>
      <c r="G52" s="258"/>
      <c r="H52" s="258"/>
      <c r="I52" s="253"/>
      <c r="J52" s="253"/>
    </row>
    <row r="53" spans="2:10" x14ac:dyDescent="0.2">
      <c r="B53" s="249"/>
      <c r="C53" s="253"/>
      <c r="D53" s="258"/>
      <c r="E53" s="258"/>
      <c r="F53" s="258"/>
      <c r="G53" s="258"/>
      <c r="H53" s="258"/>
      <c r="I53" s="253"/>
      <c r="J53" s="253"/>
    </row>
    <row r="54" spans="2:10" x14ac:dyDescent="0.2">
      <c r="B54" s="249"/>
      <c r="C54" s="253"/>
      <c r="D54" s="258"/>
      <c r="E54" s="258"/>
      <c r="F54" s="258"/>
      <c r="G54" s="258"/>
      <c r="H54" s="258"/>
      <c r="I54" s="253"/>
      <c r="J54" s="253"/>
    </row>
    <row r="55" spans="2:10" x14ac:dyDescent="0.2">
      <c r="B55" s="249"/>
      <c r="C55" s="253"/>
      <c r="D55" s="258"/>
      <c r="E55" s="258"/>
      <c r="F55" s="258"/>
      <c r="G55" s="258"/>
      <c r="H55" s="258"/>
      <c r="I55" s="253"/>
      <c r="J55" s="253"/>
    </row>
    <row r="56" spans="2:10" x14ac:dyDescent="0.2">
      <c r="B56" s="249"/>
      <c r="C56" s="253"/>
      <c r="D56" s="258"/>
      <c r="E56" s="258"/>
      <c r="F56" s="258"/>
      <c r="G56" s="258"/>
      <c r="H56" s="258"/>
      <c r="I56" s="253"/>
      <c r="J56" s="253"/>
    </row>
    <row r="57" spans="2:10" x14ac:dyDescent="0.2">
      <c r="B57" s="249"/>
      <c r="C57" s="253"/>
      <c r="D57" s="258"/>
      <c r="E57" s="258"/>
      <c r="F57" s="258"/>
      <c r="G57" s="258"/>
      <c r="H57" s="258"/>
      <c r="I57" s="253"/>
      <c r="J57" s="253"/>
    </row>
    <row r="58" spans="2:10" x14ac:dyDescent="0.2">
      <c r="B58" s="249"/>
      <c r="C58" s="253"/>
      <c r="D58" s="258"/>
      <c r="E58" s="258"/>
      <c r="F58" s="258"/>
      <c r="G58" s="258"/>
      <c r="H58" s="258"/>
      <c r="I58" s="253"/>
      <c r="J58" s="253"/>
    </row>
    <row r="59" spans="2:10" x14ac:dyDescent="0.2">
      <c r="B59" s="249"/>
      <c r="C59" s="253"/>
      <c r="D59" s="258"/>
      <c r="E59" s="258"/>
      <c r="F59" s="258"/>
      <c r="G59" s="258"/>
      <c r="H59" s="258"/>
      <c r="I59" s="253"/>
      <c r="J59" s="253"/>
    </row>
    <row r="60" spans="2:10" x14ac:dyDescent="0.2">
      <c r="B60" s="249"/>
      <c r="C60" s="253"/>
      <c r="D60" s="258"/>
      <c r="E60" s="258"/>
      <c r="F60" s="258"/>
      <c r="G60" s="258"/>
      <c r="H60" s="258"/>
      <c r="I60" s="253"/>
      <c r="J60" s="253"/>
    </row>
    <row r="61" spans="2:10" x14ac:dyDescent="0.2">
      <c r="B61" s="249"/>
      <c r="C61" s="253"/>
      <c r="D61" s="258"/>
      <c r="E61" s="258"/>
      <c r="F61" s="258"/>
      <c r="G61" s="258"/>
      <c r="H61" s="258"/>
      <c r="I61" s="253"/>
      <c r="J61" s="253"/>
    </row>
    <row r="62" spans="2:10" x14ac:dyDescent="0.2">
      <c r="B62" s="249"/>
      <c r="C62" s="253"/>
      <c r="D62" s="258"/>
      <c r="E62" s="258"/>
      <c r="F62" s="258"/>
      <c r="G62" s="258"/>
      <c r="H62" s="258"/>
      <c r="I62" s="253"/>
      <c r="J62" s="253"/>
    </row>
  </sheetData>
  <customSheetViews>
    <customSheetView guid="{03674138-A9FA-46A6-AB09-A74C70852C0D}" showPageBreaks="1" printArea="1" view="pageLayout">
      <selection activeCell="F13" sqref="F13"/>
      <pageMargins left="0.25" right="0.25" top="2" bottom="1" header="0.5" footer="0.5"/>
      <printOptions horizontalCentered="1" gridLines="1"/>
      <pageSetup scale="95" orientation="portrait" r:id="rId1"/>
      <headerFooter alignWithMargins="0">
        <oddHeader>&amp;L&amp;"Times New Roman,Regular"Ordinance #   (budget adoption)
Resolution # 8610 (contract adoption)&amp;C&amp;"Times New Roman,Bold"&amp;16
ATTACHMENT I
2015 CITY OF BELLEVUE PAY PLANS
&amp;14INTERNATIONAL ASSOCIATION OF FIREFIGHTERS UNION, LOCAL #1604
LINE PERSONNEL</oddHeader>
        <oddFooter>&amp;C&amp;"Times New Roman,Bold"&amp;16&amp;A</oddFooter>
      </headerFooter>
    </customSheetView>
    <customSheetView guid="{6140C585-A678-4296-91B8-0C17DF653D09}" showPageBreaks="1" printArea="1" view="pageLayout" topLeftCell="A25">
      <selection activeCell="A43" sqref="A43:I43"/>
      <pageMargins left="0.25" right="0.25" top="2" bottom="1" header="0.5" footer="0.5"/>
      <printOptions horizontalCentered="1" gridLines="1"/>
      <pageSetup scale="95" orientation="portrait" r:id="rId2"/>
      <headerFooter alignWithMargins="0">
        <oddHeader>&amp;LOrdinance #   (budget adoption)
Resolution # 8610 (contract adoption)&amp;C&amp;"Arial,Bold"&amp;16
2015 CITY OF BELLEVUE PAY PLANS
&amp;14INTERNATIONAL ASSOCIATION OF FIREFIGHTERS UNION, LOCAL #1604
LINE PERSONNEL</oddHeader>
        <oddFooter xml:space="preserve">&amp;C&amp;"Arial,Bold"&amp;16&amp;A&amp;REffective 01/01/15,
System Update 01/xx/15 </oddFooter>
      </headerFooter>
    </customSheetView>
    <customSheetView guid="{49073133-97C6-4E81-BEFE-D9E658C173F7}" showPageBreaks="1" printArea="1" view="pageLayout" topLeftCell="A25">
      <selection activeCell="A43" sqref="A43:I43"/>
      <pageMargins left="0.25" right="0.25" top="2" bottom="1" header="0.5" footer="0.5"/>
      <printOptions horizontalCentered="1" gridLines="1"/>
      <pageSetup scale="95" orientation="portrait" r:id="rId3"/>
      <headerFooter alignWithMargins="0">
        <oddHeader>&amp;LOrdinance #   (budget adoption)
Resolution # 8610 (contract adoption)&amp;C&amp;"Arial,Bold"&amp;16
2015 CITY OF BELLEVUE PAY PLANS
&amp;14INTERNATIONAL ASSOCIATION OF FIREFIGHTERS UNION, LOCAL #1604
LINE PERSONNEL</oddHeader>
        <oddFooter xml:space="preserve">&amp;C&amp;"Arial,Bold"&amp;16&amp;A&amp;REffective 01/01/15,
System Update 01/xx/15 </oddFooter>
      </headerFooter>
    </customSheetView>
  </customSheetViews>
  <mergeCells count="6">
    <mergeCell ref="A43:I43"/>
    <mergeCell ref="M1:P1"/>
    <mergeCell ref="D1:H1"/>
    <mergeCell ref="A1:A2"/>
    <mergeCell ref="B1:B2"/>
    <mergeCell ref="C1:C2"/>
  </mergeCells>
  <phoneticPr fontId="7" type="noConversion"/>
  <printOptions horizontalCentered="1" gridLines="1"/>
  <pageMargins left="0.25" right="0.25" top="2" bottom="1" header="0.5" footer="0.5"/>
  <pageSetup scale="95" orientation="portrait" r:id="rId4"/>
  <headerFooter alignWithMargins="0">
    <oddHeader>&amp;LOrdinance #6333(budget adoption)
Resolution # 8610 (contract adoption)&amp;C&amp;"Arial,Bold"&amp;16
2015 CITY OF BELLEVUE PAY PLANS
&amp;14INTERNATIONAL ASSOCIATION OF FIREFIGHTERS UNION, LOCAL #1604
LINE PERSONNEL 
&amp;11Collective Bargaining Agreement Expired 12/31/15</oddHeader>
    <oddFooter xml:space="preserve">&amp;C&amp;"Arial,Bold"&amp;16&amp;A&amp;REffective 01/01/15,
System Update 01/xx/15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114"/>
  <sheetViews>
    <sheetView view="pageLayout" zoomScaleNormal="115" workbookViewId="0"/>
  </sheetViews>
  <sheetFormatPr defaultColWidth="11.42578125" defaultRowHeight="18" customHeight="1" x14ac:dyDescent="0.2"/>
  <cols>
    <col min="1" max="1" width="7.42578125" style="18" bestFit="1" customWidth="1"/>
    <col min="2" max="2" width="15.140625" style="38" bestFit="1" customWidth="1"/>
    <col min="3" max="3" width="30" style="38" bestFit="1" customWidth="1"/>
    <col min="4" max="4" width="6.85546875" style="20" customWidth="1"/>
    <col min="5" max="5" width="10.28515625" style="21" customWidth="1"/>
    <col min="6" max="9" width="10.28515625" style="38" customWidth="1"/>
    <col min="10" max="16384" width="11.42578125" style="38"/>
  </cols>
  <sheetData>
    <row r="1" spans="1:12" ht="51.75" thickBot="1" x14ac:dyDescent="0.25">
      <c r="A1" s="115" t="s">
        <v>469</v>
      </c>
      <c r="B1" s="115" t="s">
        <v>470</v>
      </c>
      <c r="C1" s="115" t="s">
        <v>471</v>
      </c>
      <c r="D1" s="116" t="s">
        <v>578</v>
      </c>
      <c r="E1" s="117" t="s">
        <v>556</v>
      </c>
      <c r="F1" s="118"/>
      <c r="G1" s="579" t="s">
        <v>1004</v>
      </c>
      <c r="H1" s="580"/>
      <c r="I1" s="580"/>
      <c r="J1" s="37"/>
      <c r="K1" s="37"/>
      <c r="L1" s="37"/>
    </row>
    <row r="2" spans="1:12" ht="13.5" customHeight="1" x14ac:dyDescent="0.2">
      <c r="A2" s="45">
        <v>1074</v>
      </c>
      <c r="B2" s="93" t="s">
        <v>572</v>
      </c>
      <c r="C2" s="93" t="s">
        <v>571</v>
      </c>
      <c r="D2" s="94">
        <v>0.04</v>
      </c>
      <c r="E2" s="95">
        <f t="shared" ref="E2:E8" si="0">D2*$I$13</f>
        <v>290.66552116154782</v>
      </c>
      <c r="F2" s="82"/>
      <c r="G2" s="114"/>
      <c r="H2" s="83"/>
      <c r="I2" s="114"/>
    </row>
    <row r="3" spans="1:12" ht="13.5" customHeight="1" x14ac:dyDescent="0.2">
      <c r="A3" s="45">
        <v>1072</v>
      </c>
      <c r="B3" s="93" t="s">
        <v>570</v>
      </c>
      <c r="C3" s="93" t="s">
        <v>569</v>
      </c>
      <c r="D3" s="94">
        <v>0.02</v>
      </c>
      <c r="E3" s="95">
        <f t="shared" si="0"/>
        <v>145.33276058077391</v>
      </c>
      <c r="F3" s="119"/>
      <c r="G3" s="119"/>
      <c r="H3" s="120"/>
      <c r="I3" s="114"/>
    </row>
    <row r="4" spans="1:12" ht="13.5" customHeight="1" x14ac:dyDescent="0.2">
      <c r="A4" s="45">
        <v>1058</v>
      </c>
      <c r="B4" s="93" t="s">
        <v>566</v>
      </c>
      <c r="C4" s="93" t="s">
        <v>565</v>
      </c>
      <c r="D4" s="94">
        <v>0.04</v>
      </c>
      <c r="E4" s="95">
        <f t="shared" si="0"/>
        <v>290.66552116154782</v>
      </c>
      <c r="F4" s="119"/>
      <c r="G4" s="119"/>
      <c r="H4" s="120"/>
      <c r="I4" s="114"/>
    </row>
    <row r="5" spans="1:12" ht="13.5" customHeight="1" x14ac:dyDescent="0.2">
      <c r="A5" s="45">
        <v>1056</v>
      </c>
      <c r="B5" s="93" t="s">
        <v>564</v>
      </c>
      <c r="C5" s="93" t="s">
        <v>563</v>
      </c>
      <c r="D5" s="94">
        <v>0.02</v>
      </c>
      <c r="E5" s="95">
        <f t="shared" si="0"/>
        <v>145.33276058077391</v>
      </c>
      <c r="F5" s="82"/>
      <c r="G5" s="82"/>
      <c r="H5" s="83"/>
      <c r="I5" s="114"/>
    </row>
    <row r="6" spans="1:12" ht="13.5" customHeight="1" x14ac:dyDescent="0.2">
      <c r="A6" s="45">
        <v>1060</v>
      </c>
      <c r="B6" s="93" t="s">
        <v>568</v>
      </c>
      <c r="C6" s="93" t="s">
        <v>567</v>
      </c>
      <c r="D6" s="94">
        <v>0.02</v>
      </c>
      <c r="E6" s="95">
        <f t="shared" si="0"/>
        <v>145.33276058077391</v>
      </c>
      <c r="F6" s="82"/>
      <c r="G6" s="82"/>
      <c r="H6" s="83"/>
      <c r="I6" s="114"/>
    </row>
    <row r="7" spans="1:12" ht="13.5" customHeight="1" x14ac:dyDescent="0.2">
      <c r="A7" s="45">
        <v>1078</v>
      </c>
      <c r="B7" s="93" t="s">
        <v>576</v>
      </c>
      <c r="C7" s="93" t="s">
        <v>575</v>
      </c>
      <c r="D7" s="94" t="s">
        <v>391</v>
      </c>
      <c r="E7" s="95">
        <v>120</v>
      </c>
      <c r="F7" s="82"/>
      <c r="G7" s="82"/>
      <c r="H7" s="83"/>
      <c r="I7" s="114"/>
    </row>
    <row r="8" spans="1:12" ht="13.5" customHeight="1" x14ac:dyDescent="0.2">
      <c r="A8" s="45">
        <v>1076</v>
      </c>
      <c r="B8" s="93" t="s">
        <v>574</v>
      </c>
      <c r="C8" s="93" t="s">
        <v>573</v>
      </c>
      <c r="D8" s="94">
        <v>0.02</v>
      </c>
      <c r="E8" s="95">
        <f t="shared" si="0"/>
        <v>145.33276058077391</v>
      </c>
      <c r="F8" s="82"/>
      <c r="G8" s="82"/>
      <c r="H8" s="83"/>
      <c r="I8" s="114"/>
    </row>
    <row r="9" spans="1:12" ht="13.5" thickBot="1" x14ac:dyDescent="0.25">
      <c r="A9" s="98">
        <v>1067</v>
      </c>
      <c r="B9" s="99" t="s">
        <v>577</v>
      </c>
      <c r="C9" s="121" t="s">
        <v>579</v>
      </c>
      <c r="D9" s="100" t="s">
        <v>391</v>
      </c>
      <c r="E9" s="101">
        <v>75</v>
      </c>
      <c r="F9" s="82"/>
      <c r="G9" s="82"/>
      <c r="H9" s="83"/>
      <c r="I9" s="114"/>
    </row>
    <row r="10" spans="1:12" ht="15.6" customHeight="1" thickBot="1" x14ac:dyDescent="0.25">
      <c r="A10" s="79"/>
      <c r="B10" s="80"/>
      <c r="C10" s="80"/>
      <c r="D10" s="81"/>
      <c r="E10" s="82"/>
      <c r="F10" s="82"/>
      <c r="G10" s="82"/>
      <c r="H10" s="83"/>
      <c r="I10" s="83"/>
    </row>
    <row r="11" spans="1:12" ht="16.5" thickBot="1" x14ac:dyDescent="0.25">
      <c r="A11" s="570" t="s">
        <v>469</v>
      </c>
      <c r="B11" s="570" t="s">
        <v>470</v>
      </c>
      <c r="C11" s="582" t="s">
        <v>471</v>
      </c>
      <c r="D11" s="575" t="s">
        <v>473</v>
      </c>
      <c r="E11" s="581" t="s">
        <v>540</v>
      </c>
      <c r="F11" s="577"/>
      <c r="G11" s="577"/>
      <c r="H11" s="577"/>
      <c r="I11" s="578"/>
      <c r="J11" s="37"/>
      <c r="K11" s="37"/>
      <c r="L11" s="37"/>
    </row>
    <row r="12" spans="1:12" ht="13.5" customHeight="1" x14ac:dyDescent="0.2">
      <c r="A12" s="571"/>
      <c r="B12" s="573"/>
      <c r="C12" s="583"/>
      <c r="D12" s="571"/>
      <c r="E12" s="85" t="s">
        <v>474</v>
      </c>
      <c r="F12" s="85" t="s">
        <v>475</v>
      </c>
      <c r="G12" s="85" t="s">
        <v>476</v>
      </c>
      <c r="H12" s="85" t="s">
        <v>477</v>
      </c>
      <c r="I12" s="85" t="s">
        <v>478</v>
      </c>
    </row>
    <row r="13" spans="1:12" ht="13.5" customHeight="1" thickBot="1" x14ac:dyDescent="0.25">
      <c r="A13" s="572"/>
      <c r="B13" s="574"/>
      <c r="C13" s="584"/>
      <c r="D13" s="572"/>
      <c r="E13" s="86">
        <f>'F- Firefighters (rep)'!D3</f>
        <v>5715.2108098389344</v>
      </c>
      <c r="F13" s="86">
        <f>'F- Firefighters (rep)'!E3</f>
        <v>5994.2497101540193</v>
      </c>
      <c r="G13" s="86">
        <f>'F- Firefighters (rep)'!F3</f>
        <v>6428.0680004876294</v>
      </c>
      <c r="H13" s="86">
        <f>'F- Firefighters (rep)'!G3</f>
        <v>6842.9930319457389</v>
      </c>
      <c r="I13" s="86">
        <f>'F- Firefighters (rep)'!H3</f>
        <v>7266.6380290386951</v>
      </c>
    </row>
    <row r="14" spans="1:12" ht="13.5" customHeight="1" x14ac:dyDescent="0.2">
      <c r="A14" s="87">
        <v>1032</v>
      </c>
      <c r="B14" s="88" t="s">
        <v>561</v>
      </c>
      <c r="C14" s="89" t="s">
        <v>688</v>
      </c>
      <c r="D14" s="90">
        <v>2.5000000000000001E-2</v>
      </c>
      <c r="E14" s="91">
        <f>D14*$E$13</f>
        <v>142.88027024597338</v>
      </c>
      <c r="F14" s="91">
        <f>D14*$F$13</f>
        <v>149.85624275385049</v>
      </c>
      <c r="G14" s="91">
        <f>D14*$G$13</f>
        <v>160.70170001219074</v>
      </c>
      <c r="H14" s="91">
        <f>D14*$H$13</f>
        <v>171.07482579864347</v>
      </c>
      <c r="I14" s="91">
        <f>D14*$I$13</f>
        <v>181.66595072596738</v>
      </c>
    </row>
    <row r="15" spans="1:12" ht="13.5" customHeight="1" x14ac:dyDescent="0.2">
      <c r="A15" s="45">
        <v>1034</v>
      </c>
      <c r="B15" s="92" t="s">
        <v>561</v>
      </c>
      <c r="C15" s="93" t="s">
        <v>689</v>
      </c>
      <c r="D15" s="94">
        <v>3.5000000000000003E-2</v>
      </c>
      <c r="E15" s="95">
        <f t="shared" ref="E15:E24" si="1">D15*$E$13</f>
        <v>200.03237834436271</v>
      </c>
      <c r="F15" s="95">
        <f t="shared" ref="F15:F22" si="2">D15*$F$13</f>
        <v>209.79873985539069</v>
      </c>
      <c r="G15" s="95">
        <f t="shared" ref="G15:G22" si="3">D15*$G$13</f>
        <v>224.98238001706704</v>
      </c>
      <c r="H15" s="95">
        <f t="shared" ref="H15:H22" si="4">D15*$H$13</f>
        <v>239.50475611810089</v>
      </c>
      <c r="I15" s="95">
        <f t="shared" ref="I15:I22" si="5">D15*$I$13</f>
        <v>254.33233101635435</v>
      </c>
    </row>
    <row r="16" spans="1:12" ht="13.5" customHeight="1" x14ac:dyDescent="0.2">
      <c r="A16" s="45">
        <v>1036</v>
      </c>
      <c r="B16" s="92" t="s">
        <v>561</v>
      </c>
      <c r="C16" s="93" t="s">
        <v>690</v>
      </c>
      <c r="D16" s="94">
        <v>0.04</v>
      </c>
      <c r="E16" s="95">
        <f t="shared" si="1"/>
        <v>228.60843239355739</v>
      </c>
      <c r="F16" s="95">
        <f t="shared" si="2"/>
        <v>239.76998840616079</v>
      </c>
      <c r="G16" s="95">
        <f t="shared" si="3"/>
        <v>257.12272001950521</v>
      </c>
      <c r="H16" s="95">
        <f t="shared" si="4"/>
        <v>273.71972127782954</v>
      </c>
      <c r="I16" s="95">
        <f t="shared" si="5"/>
        <v>290.66552116154782</v>
      </c>
    </row>
    <row r="17" spans="1:12" ht="13.5" customHeight="1" x14ac:dyDescent="0.2">
      <c r="A17" s="45">
        <v>1033</v>
      </c>
      <c r="B17" s="92" t="s">
        <v>561</v>
      </c>
      <c r="C17" s="93" t="s">
        <v>562</v>
      </c>
      <c r="D17" s="94">
        <v>2.5000000000000001E-2</v>
      </c>
      <c r="E17" s="95">
        <f t="shared" si="1"/>
        <v>142.88027024597338</v>
      </c>
      <c r="F17" s="95">
        <f t="shared" si="2"/>
        <v>149.85624275385049</v>
      </c>
      <c r="G17" s="95">
        <f t="shared" si="3"/>
        <v>160.70170001219074</v>
      </c>
      <c r="H17" s="95">
        <f t="shared" si="4"/>
        <v>171.07482579864347</v>
      </c>
      <c r="I17" s="95">
        <f t="shared" si="5"/>
        <v>181.66595072596738</v>
      </c>
    </row>
    <row r="18" spans="1:12" ht="13.5" customHeight="1" x14ac:dyDescent="0.2">
      <c r="A18" s="96"/>
      <c r="B18" s="92"/>
      <c r="C18" s="97"/>
      <c r="D18" s="94"/>
      <c r="E18" s="95"/>
      <c r="F18" s="95"/>
      <c r="G18" s="95"/>
      <c r="H18" s="95"/>
      <c r="I18" s="95"/>
    </row>
    <row r="19" spans="1:12" s="40" customFormat="1" ht="13.5" customHeight="1" x14ac:dyDescent="0.2">
      <c r="A19" s="45">
        <v>1002</v>
      </c>
      <c r="B19" s="93" t="s">
        <v>560</v>
      </c>
      <c r="C19" s="93" t="s">
        <v>691</v>
      </c>
      <c r="D19" s="94">
        <v>0.01</v>
      </c>
      <c r="E19" s="95">
        <f t="shared" si="1"/>
        <v>57.152108098389348</v>
      </c>
      <c r="F19" s="95">
        <f t="shared" si="2"/>
        <v>59.942497101540198</v>
      </c>
      <c r="G19" s="95">
        <f t="shared" si="3"/>
        <v>64.280680004876302</v>
      </c>
      <c r="H19" s="95">
        <f t="shared" si="4"/>
        <v>68.429930319457384</v>
      </c>
      <c r="I19" s="95">
        <f t="shared" si="5"/>
        <v>72.666380290386954</v>
      </c>
    </row>
    <row r="20" spans="1:12" s="40" customFormat="1" ht="13.5" customHeight="1" x14ac:dyDescent="0.2">
      <c r="A20" s="45">
        <v>1004</v>
      </c>
      <c r="B20" s="93" t="s">
        <v>560</v>
      </c>
      <c r="C20" s="93" t="s">
        <v>692</v>
      </c>
      <c r="D20" s="94">
        <v>0.02</v>
      </c>
      <c r="E20" s="95">
        <f t="shared" si="1"/>
        <v>114.3042161967787</v>
      </c>
      <c r="F20" s="95">
        <f t="shared" si="2"/>
        <v>119.8849942030804</v>
      </c>
      <c r="G20" s="95">
        <f t="shared" si="3"/>
        <v>128.5613600097526</v>
      </c>
      <c r="H20" s="95">
        <f t="shared" si="4"/>
        <v>136.85986063891477</v>
      </c>
      <c r="I20" s="95">
        <f t="shared" si="5"/>
        <v>145.33276058077391</v>
      </c>
    </row>
    <row r="21" spans="1:12" s="40" customFormat="1" ht="13.5" customHeight="1" x14ac:dyDescent="0.2">
      <c r="A21" s="45">
        <v>1008</v>
      </c>
      <c r="B21" s="93" t="s">
        <v>560</v>
      </c>
      <c r="C21" s="93" t="s">
        <v>693</v>
      </c>
      <c r="D21" s="94">
        <v>0.04</v>
      </c>
      <c r="E21" s="95">
        <f t="shared" si="1"/>
        <v>228.60843239355739</v>
      </c>
      <c r="F21" s="95">
        <f t="shared" si="2"/>
        <v>239.76998840616079</v>
      </c>
      <c r="G21" s="95">
        <f t="shared" si="3"/>
        <v>257.12272001950521</v>
      </c>
      <c r="H21" s="95">
        <f t="shared" si="4"/>
        <v>273.71972127782954</v>
      </c>
      <c r="I21" s="95">
        <f t="shared" si="5"/>
        <v>290.66552116154782</v>
      </c>
    </row>
    <row r="22" spans="1:12" s="40" customFormat="1" ht="13.5" customHeight="1" x14ac:dyDescent="0.2">
      <c r="A22" s="45">
        <v>1010</v>
      </c>
      <c r="B22" s="93" t="s">
        <v>560</v>
      </c>
      <c r="C22" s="93" t="s">
        <v>694</v>
      </c>
      <c r="D22" s="94">
        <v>0.05</v>
      </c>
      <c r="E22" s="95">
        <f t="shared" si="1"/>
        <v>285.76054049194676</v>
      </c>
      <c r="F22" s="95">
        <f t="shared" si="2"/>
        <v>299.71248550770099</v>
      </c>
      <c r="G22" s="95">
        <f t="shared" si="3"/>
        <v>321.40340002438148</v>
      </c>
      <c r="H22" s="95">
        <f t="shared" si="4"/>
        <v>342.14965159728695</v>
      </c>
      <c r="I22" s="95">
        <f t="shared" si="5"/>
        <v>363.33190145193475</v>
      </c>
    </row>
    <row r="23" spans="1:12" s="40" customFormat="1" ht="13.5" customHeight="1" x14ac:dyDescent="0.2">
      <c r="A23" s="45">
        <v>1003</v>
      </c>
      <c r="B23" s="93" t="s">
        <v>560</v>
      </c>
      <c r="C23" s="93" t="s">
        <v>695</v>
      </c>
      <c r="D23" s="94">
        <v>0.06</v>
      </c>
      <c r="E23" s="95">
        <f t="shared" si="1"/>
        <v>342.91264859033606</v>
      </c>
      <c r="F23" s="95">
        <f>D23*$F$13</f>
        <v>359.65498260924113</v>
      </c>
      <c r="G23" s="95">
        <f>D23*$G$13</f>
        <v>385.68408002925776</v>
      </c>
      <c r="H23" s="95">
        <f>D23*$H$13</f>
        <v>410.5795819167443</v>
      </c>
      <c r="I23" s="95">
        <f>D23*$I$13</f>
        <v>435.99828174232169</v>
      </c>
    </row>
    <row r="24" spans="1:12" s="40" customFormat="1" ht="13.5" customHeight="1" thickBot="1" x14ac:dyDescent="0.25">
      <c r="A24" s="98">
        <v>1005</v>
      </c>
      <c r="B24" s="99" t="s">
        <v>560</v>
      </c>
      <c r="C24" s="99" t="s">
        <v>696</v>
      </c>
      <c r="D24" s="100">
        <v>7.0000000000000007E-2</v>
      </c>
      <c r="E24" s="101">
        <f t="shared" si="1"/>
        <v>400.06475668872542</v>
      </c>
      <c r="F24" s="101">
        <f>D24*$F$13</f>
        <v>419.59747971078139</v>
      </c>
      <c r="G24" s="101">
        <f>D24*$G$13</f>
        <v>449.96476003413409</v>
      </c>
      <c r="H24" s="101">
        <f>D24*$H$13</f>
        <v>479.00951223620177</v>
      </c>
      <c r="I24" s="101">
        <f>D24*$I$13</f>
        <v>508.66466203270869</v>
      </c>
    </row>
    <row r="25" spans="1:12" ht="15.6" customHeight="1" thickBot="1" x14ac:dyDescent="0.25">
      <c r="A25" s="102"/>
      <c r="B25" s="103"/>
      <c r="C25" s="104"/>
      <c r="D25" s="105"/>
      <c r="E25" s="106"/>
      <c r="F25" s="106"/>
      <c r="G25" s="106"/>
      <c r="H25" s="106"/>
      <c r="I25" s="106"/>
    </row>
    <row r="26" spans="1:12" ht="16.5" thickBot="1" x14ac:dyDescent="0.25">
      <c r="A26" s="570" t="s">
        <v>469</v>
      </c>
      <c r="B26" s="570" t="s">
        <v>470</v>
      </c>
      <c r="C26" s="570" t="s">
        <v>471</v>
      </c>
      <c r="D26" s="575" t="s">
        <v>473</v>
      </c>
      <c r="E26" s="567" t="s">
        <v>541</v>
      </c>
      <c r="F26" s="568"/>
      <c r="G26" s="568"/>
      <c r="H26" s="568"/>
      <c r="I26" s="569"/>
      <c r="J26" s="37"/>
      <c r="K26" s="37"/>
      <c r="L26" s="37"/>
    </row>
    <row r="27" spans="1:12" ht="13.5" customHeight="1" x14ac:dyDescent="0.2">
      <c r="A27" s="571"/>
      <c r="B27" s="573"/>
      <c r="C27" s="573"/>
      <c r="D27" s="571"/>
      <c r="E27" s="85" t="s">
        <v>474</v>
      </c>
      <c r="F27" s="85" t="s">
        <v>475</v>
      </c>
      <c r="G27" s="85" t="s">
        <v>476</v>
      </c>
      <c r="H27" s="85" t="s">
        <v>477</v>
      </c>
      <c r="I27" s="85" t="s">
        <v>478</v>
      </c>
    </row>
    <row r="28" spans="1:12" ht="13.5" customHeight="1" thickBot="1" x14ac:dyDescent="0.25">
      <c r="A28" s="572"/>
      <c r="B28" s="574"/>
      <c r="C28" s="574"/>
      <c r="D28" s="572"/>
      <c r="E28" s="86">
        <f>'F- Firefighters (rep)'!D14</f>
        <v>6000.9713503308813</v>
      </c>
      <c r="F28" s="86">
        <f>'F- Firefighters (rep)'!E14</f>
        <v>6293.9621956617202</v>
      </c>
      <c r="G28" s="86">
        <f>'F- Firefighters (rep)'!F14</f>
        <v>6749.4714005120104</v>
      </c>
      <c r="H28" s="86">
        <f>'F- Firefighters (rep)'!G14</f>
        <v>7185.1426835430257</v>
      </c>
      <c r="I28" s="86">
        <f>'F- Firefighters (rep)'!H14</f>
        <v>7629.9699304906298</v>
      </c>
    </row>
    <row r="29" spans="1:12" s="40" customFormat="1" ht="13.5" customHeight="1" x14ac:dyDescent="0.2">
      <c r="A29" s="87">
        <v>1032</v>
      </c>
      <c r="B29" s="88" t="s">
        <v>561</v>
      </c>
      <c r="C29" s="107" t="s">
        <v>697</v>
      </c>
      <c r="D29" s="108">
        <v>2.5000000000000001E-2</v>
      </c>
      <c r="E29" s="91">
        <f>$E$28*D29</f>
        <v>150.02428375827205</v>
      </c>
      <c r="F29" s="91">
        <f>$F$28*D29</f>
        <v>157.34905489154301</v>
      </c>
      <c r="G29" s="91">
        <f>$G$28*D29</f>
        <v>168.73678501280028</v>
      </c>
      <c r="H29" s="91">
        <f>$H$28*D29</f>
        <v>179.62856708857566</v>
      </c>
      <c r="I29" s="91">
        <f>$I$28*D29</f>
        <v>190.74924826226575</v>
      </c>
    </row>
    <row r="30" spans="1:12" s="40" customFormat="1" ht="13.5" customHeight="1" x14ac:dyDescent="0.2">
      <c r="A30" s="45">
        <v>1034</v>
      </c>
      <c r="B30" s="92" t="s">
        <v>561</v>
      </c>
      <c r="C30" s="93" t="s">
        <v>689</v>
      </c>
      <c r="D30" s="94">
        <v>3.5000000000000003E-2</v>
      </c>
      <c r="E30" s="95">
        <f t="shared" ref="E30:E39" si="6">$E$28*D30</f>
        <v>210.03399726158085</v>
      </c>
      <c r="F30" s="95">
        <f t="shared" ref="F30:F37" si="7">$F$28*D30</f>
        <v>220.28867684816024</v>
      </c>
      <c r="G30" s="95">
        <f t="shared" ref="G30:G37" si="8">$G$28*D30</f>
        <v>236.23149901792038</v>
      </c>
      <c r="H30" s="95">
        <f t="shared" ref="H30:H37" si="9">$H$28*D30</f>
        <v>251.47999392400592</v>
      </c>
      <c r="I30" s="95">
        <f t="shared" ref="I30:I37" si="10">$I$28*D30</f>
        <v>267.04894756717209</v>
      </c>
    </row>
    <row r="31" spans="1:12" s="40" customFormat="1" ht="13.5" customHeight="1" x14ac:dyDescent="0.2">
      <c r="A31" s="45">
        <v>1036</v>
      </c>
      <c r="B31" s="92" t="s">
        <v>561</v>
      </c>
      <c r="C31" s="93" t="s">
        <v>690</v>
      </c>
      <c r="D31" s="94">
        <v>0.04</v>
      </c>
      <c r="E31" s="95">
        <f t="shared" si="6"/>
        <v>240.03885401323527</v>
      </c>
      <c r="F31" s="95">
        <f t="shared" si="7"/>
        <v>251.75848782646881</v>
      </c>
      <c r="G31" s="95">
        <f t="shared" si="8"/>
        <v>269.97885602048041</v>
      </c>
      <c r="H31" s="95">
        <f t="shared" si="9"/>
        <v>287.40570734172104</v>
      </c>
      <c r="I31" s="95">
        <f t="shared" si="10"/>
        <v>305.19879721962519</v>
      </c>
    </row>
    <row r="32" spans="1:12" s="40" customFormat="1" ht="13.5" customHeight="1" x14ac:dyDescent="0.2">
      <c r="A32" s="45">
        <v>1033</v>
      </c>
      <c r="B32" s="92" t="s">
        <v>561</v>
      </c>
      <c r="C32" s="93" t="s">
        <v>562</v>
      </c>
      <c r="D32" s="94">
        <v>2.5000000000000001E-2</v>
      </c>
      <c r="E32" s="95">
        <f t="shared" si="6"/>
        <v>150.02428375827205</v>
      </c>
      <c r="F32" s="95">
        <f t="shared" si="7"/>
        <v>157.34905489154301</v>
      </c>
      <c r="G32" s="95">
        <f t="shared" si="8"/>
        <v>168.73678501280028</v>
      </c>
      <c r="H32" s="95">
        <f t="shared" si="9"/>
        <v>179.62856708857566</v>
      </c>
      <c r="I32" s="95">
        <f t="shared" si="10"/>
        <v>190.74924826226575</v>
      </c>
    </row>
    <row r="33" spans="1:12" ht="13.5" customHeight="1" x14ac:dyDescent="0.2">
      <c r="A33" s="84"/>
      <c r="B33" s="109"/>
      <c r="C33" s="110"/>
      <c r="D33" s="111"/>
      <c r="E33" s="95"/>
      <c r="F33" s="95"/>
      <c r="G33" s="95"/>
      <c r="H33" s="95"/>
      <c r="I33" s="95"/>
    </row>
    <row r="34" spans="1:12" s="40" customFormat="1" ht="13.5" customHeight="1" x14ac:dyDescent="0.2">
      <c r="A34" s="45">
        <v>1002</v>
      </c>
      <c r="B34" s="93" t="s">
        <v>560</v>
      </c>
      <c r="C34" s="93" t="s">
        <v>691</v>
      </c>
      <c r="D34" s="94">
        <v>0.01</v>
      </c>
      <c r="E34" s="95">
        <f t="shared" si="6"/>
        <v>60.009713503308816</v>
      </c>
      <c r="F34" s="95">
        <f t="shared" si="7"/>
        <v>62.939621956617202</v>
      </c>
      <c r="G34" s="95">
        <f t="shared" si="8"/>
        <v>67.494714005120102</v>
      </c>
      <c r="H34" s="95">
        <f t="shared" si="9"/>
        <v>71.85142683543026</v>
      </c>
      <c r="I34" s="95">
        <f t="shared" si="10"/>
        <v>76.299699304906298</v>
      </c>
    </row>
    <row r="35" spans="1:12" s="40" customFormat="1" ht="13.5" customHeight="1" x14ac:dyDescent="0.2">
      <c r="A35" s="45">
        <v>1004</v>
      </c>
      <c r="B35" s="93" t="s">
        <v>560</v>
      </c>
      <c r="C35" s="93" t="s">
        <v>692</v>
      </c>
      <c r="D35" s="94">
        <v>0.02</v>
      </c>
      <c r="E35" s="95">
        <f t="shared" si="6"/>
        <v>120.01942700661763</v>
      </c>
      <c r="F35" s="95">
        <f t="shared" si="7"/>
        <v>125.8792439132344</v>
      </c>
      <c r="G35" s="95">
        <f t="shared" si="8"/>
        <v>134.9894280102402</v>
      </c>
      <c r="H35" s="95">
        <f t="shared" si="9"/>
        <v>143.70285367086052</v>
      </c>
      <c r="I35" s="95">
        <f t="shared" si="10"/>
        <v>152.5993986098126</v>
      </c>
    </row>
    <row r="36" spans="1:12" s="40" customFormat="1" ht="13.5" customHeight="1" x14ac:dyDescent="0.2">
      <c r="A36" s="45">
        <v>1008</v>
      </c>
      <c r="B36" s="93" t="s">
        <v>560</v>
      </c>
      <c r="C36" s="93" t="s">
        <v>693</v>
      </c>
      <c r="D36" s="94">
        <v>0.04</v>
      </c>
      <c r="E36" s="95">
        <f t="shared" si="6"/>
        <v>240.03885401323527</v>
      </c>
      <c r="F36" s="95">
        <f t="shared" si="7"/>
        <v>251.75848782646881</v>
      </c>
      <c r="G36" s="95">
        <f t="shared" si="8"/>
        <v>269.97885602048041</v>
      </c>
      <c r="H36" s="95">
        <f t="shared" si="9"/>
        <v>287.40570734172104</v>
      </c>
      <c r="I36" s="95">
        <f t="shared" si="10"/>
        <v>305.19879721962519</v>
      </c>
    </row>
    <row r="37" spans="1:12" s="40" customFormat="1" ht="13.5" customHeight="1" x14ac:dyDescent="0.2">
      <c r="A37" s="45">
        <v>1010</v>
      </c>
      <c r="B37" s="93" t="s">
        <v>560</v>
      </c>
      <c r="C37" s="93" t="s">
        <v>694</v>
      </c>
      <c r="D37" s="94">
        <v>0.05</v>
      </c>
      <c r="E37" s="95">
        <f t="shared" si="6"/>
        <v>300.0485675165441</v>
      </c>
      <c r="F37" s="95">
        <f t="shared" si="7"/>
        <v>314.69810978308601</v>
      </c>
      <c r="G37" s="95">
        <f t="shared" si="8"/>
        <v>337.47357002560057</v>
      </c>
      <c r="H37" s="95">
        <f t="shared" si="9"/>
        <v>359.25713417715133</v>
      </c>
      <c r="I37" s="95">
        <f t="shared" si="10"/>
        <v>381.4984965245315</v>
      </c>
    </row>
    <row r="38" spans="1:12" s="40" customFormat="1" ht="13.5" customHeight="1" x14ac:dyDescent="0.2">
      <c r="A38" s="45">
        <v>1003</v>
      </c>
      <c r="B38" s="93" t="s">
        <v>560</v>
      </c>
      <c r="C38" s="93" t="s">
        <v>695</v>
      </c>
      <c r="D38" s="94">
        <v>0.06</v>
      </c>
      <c r="E38" s="95">
        <f t="shared" si="6"/>
        <v>360.05828101985287</v>
      </c>
      <c r="F38" s="95">
        <f>$F$28*D38</f>
        <v>377.63773173970321</v>
      </c>
      <c r="G38" s="95">
        <f>$G$28*D38</f>
        <v>404.96828403072061</v>
      </c>
      <c r="H38" s="95">
        <f>$H$28*D38</f>
        <v>431.1085610125815</v>
      </c>
      <c r="I38" s="95">
        <f>$I$28*D38</f>
        <v>457.79819582943776</v>
      </c>
    </row>
    <row r="39" spans="1:12" s="40" customFormat="1" ht="13.5" customHeight="1" thickBot="1" x14ac:dyDescent="0.25">
      <c r="A39" s="98">
        <v>1005</v>
      </c>
      <c r="B39" s="99" t="s">
        <v>560</v>
      </c>
      <c r="C39" s="99" t="s">
        <v>696</v>
      </c>
      <c r="D39" s="100">
        <v>7.0000000000000007E-2</v>
      </c>
      <c r="E39" s="101">
        <f t="shared" si="6"/>
        <v>420.0679945231617</v>
      </c>
      <c r="F39" s="101">
        <f>$F$28*D39</f>
        <v>440.57735369632047</v>
      </c>
      <c r="G39" s="101">
        <f>$G$28*D39</f>
        <v>472.46299803584077</v>
      </c>
      <c r="H39" s="101">
        <f>$H$28*D39</f>
        <v>502.95998784801185</v>
      </c>
      <c r="I39" s="101">
        <f>$I$28*D39</f>
        <v>534.09789513434418</v>
      </c>
    </row>
    <row r="40" spans="1:12" ht="15.6" customHeight="1" thickBot="1" x14ac:dyDescent="0.25">
      <c r="A40" s="102"/>
      <c r="B40" s="103"/>
      <c r="C40" s="104"/>
      <c r="D40" s="105"/>
      <c r="E40" s="76"/>
      <c r="F40" s="76"/>
      <c r="G40" s="76"/>
      <c r="H40" s="76"/>
      <c r="I40" s="76"/>
    </row>
    <row r="41" spans="1:12" ht="16.5" thickBot="1" x14ac:dyDescent="0.25">
      <c r="A41" s="570" t="s">
        <v>469</v>
      </c>
      <c r="B41" s="570" t="s">
        <v>470</v>
      </c>
      <c r="C41" s="570" t="s">
        <v>471</v>
      </c>
      <c r="D41" s="575" t="s">
        <v>473</v>
      </c>
      <c r="E41" s="567" t="s">
        <v>542</v>
      </c>
      <c r="F41" s="568"/>
      <c r="G41" s="568"/>
      <c r="H41" s="568"/>
      <c r="I41" s="569"/>
      <c r="J41" s="37"/>
      <c r="K41" s="37"/>
      <c r="L41" s="37"/>
    </row>
    <row r="42" spans="1:12" ht="13.5" customHeight="1" x14ac:dyDescent="0.2">
      <c r="A42" s="571"/>
      <c r="B42" s="573"/>
      <c r="C42" s="573"/>
      <c r="D42" s="571"/>
      <c r="E42" s="85" t="s">
        <v>474</v>
      </c>
      <c r="F42" s="85" t="s">
        <v>475</v>
      </c>
      <c r="G42" s="85" t="s">
        <v>476</v>
      </c>
      <c r="H42" s="85" t="s">
        <v>477</v>
      </c>
      <c r="I42" s="85" t="s">
        <v>478</v>
      </c>
    </row>
    <row r="43" spans="1:12" ht="13.5" customHeight="1" thickBot="1" x14ac:dyDescent="0.25">
      <c r="A43" s="572"/>
      <c r="B43" s="574"/>
      <c r="C43" s="574"/>
      <c r="D43" s="572"/>
      <c r="E43" s="112">
        <f>'F- Firefighters (rep)'!D19</f>
        <v>6572.4924313147749</v>
      </c>
      <c r="F43" s="113">
        <f>'F- Firefighters (rep)'!E19</f>
        <v>6893.387166677122</v>
      </c>
      <c r="G43" s="113">
        <f>'F- Firefighters (rep)'!F19</f>
        <v>7392.2782005607733</v>
      </c>
      <c r="H43" s="113">
        <f>'F- Firefighters (rep)'!G19</f>
        <v>7869.4419867376</v>
      </c>
      <c r="I43" s="113">
        <f>'F- Firefighters (rep)'!H19</f>
        <v>8356.6337333944994</v>
      </c>
    </row>
    <row r="44" spans="1:12" s="40" customFormat="1" ht="13.5" customHeight="1" x14ac:dyDescent="0.2">
      <c r="A44" s="87">
        <v>1032</v>
      </c>
      <c r="B44" s="88" t="s">
        <v>561</v>
      </c>
      <c r="C44" s="107" t="s">
        <v>697</v>
      </c>
      <c r="D44" s="108">
        <v>2.5000000000000001E-2</v>
      </c>
      <c r="E44" s="91">
        <f>$E$43*D44</f>
        <v>164.31231078286939</v>
      </c>
      <c r="F44" s="91">
        <f>$F$43*D44</f>
        <v>172.33467916692805</v>
      </c>
      <c r="G44" s="91">
        <f>$G$43*D44</f>
        <v>184.80695501401934</v>
      </c>
      <c r="H44" s="91">
        <f>$H$43*D44</f>
        <v>196.73604966844002</v>
      </c>
      <c r="I44" s="91">
        <f>$I$43*D44</f>
        <v>208.9158433348625</v>
      </c>
    </row>
    <row r="45" spans="1:12" s="40" customFormat="1" ht="13.5" customHeight="1" x14ac:dyDescent="0.2">
      <c r="A45" s="45">
        <v>1034</v>
      </c>
      <c r="B45" s="92" t="s">
        <v>561</v>
      </c>
      <c r="C45" s="93" t="s">
        <v>689</v>
      </c>
      <c r="D45" s="94">
        <v>3.5000000000000003E-2</v>
      </c>
      <c r="E45" s="95">
        <f t="shared" ref="E45:E54" si="11">$E$43*D45</f>
        <v>230.03723509601716</v>
      </c>
      <c r="F45" s="95">
        <f t="shared" ref="F45:F52" si="12">$F$43*D45</f>
        <v>241.26855083369929</v>
      </c>
      <c r="G45" s="95">
        <f t="shared" ref="G45:G52" si="13">$G$43*D45</f>
        <v>258.72973701962707</v>
      </c>
      <c r="H45" s="95">
        <f t="shared" ref="H45:H52" si="14">$H$43*D45</f>
        <v>275.43046953581603</v>
      </c>
      <c r="I45" s="95">
        <f t="shared" ref="I45:I52" si="15">$I$43*D45</f>
        <v>292.48218066880753</v>
      </c>
    </row>
    <row r="46" spans="1:12" s="40" customFormat="1" ht="13.5" customHeight="1" x14ac:dyDescent="0.2">
      <c r="A46" s="45">
        <v>1036</v>
      </c>
      <c r="B46" s="92" t="s">
        <v>561</v>
      </c>
      <c r="C46" s="93" t="s">
        <v>690</v>
      </c>
      <c r="D46" s="94">
        <v>0.04</v>
      </c>
      <c r="E46" s="95">
        <f t="shared" si="11"/>
        <v>262.89969725259101</v>
      </c>
      <c r="F46" s="95">
        <f t="shared" si="12"/>
        <v>275.7354866670849</v>
      </c>
      <c r="G46" s="95">
        <f t="shared" si="13"/>
        <v>295.69112802243092</v>
      </c>
      <c r="H46" s="95">
        <f t="shared" si="14"/>
        <v>314.77767946950399</v>
      </c>
      <c r="I46" s="95">
        <f t="shared" si="15"/>
        <v>334.26534933578</v>
      </c>
    </row>
    <row r="47" spans="1:12" s="40" customFormat="1" ht="13.5" customHeight="1" x14ac:dyDescent="0.2">
      <c r="A47" s="45">
        <v>1033</v>
      </c>
      <c r="B47" s="92" t="s">
        <v>561</v>
      </c>
      <c r="C47" s="93" t="s">
        <v>562</v>
      </c>
      <c r="D47" s="94">
        <v>2.5000000000000001E-2</v>
      </c>
      <c r="E47" s="95">
        <f t="shared" si="11"/>
        <v>164.31231078286939</v>
      </c>
      <c r="F47" s="95">
        <f t="shared" si="12"/>
        <v>172.33467916692805</v>
      </c>
      <c r="G47" s="95">
        <f t="shared" si="13"/>
        <v>184.80695501401934</v>
      </c>
      <c r="H47" s="95">
        <f t="shared" si="14"/>
        <v>196.73604966844002</v>
      </c>
      <c r="I47" s="95">
        <f t="shared" si="15"/>
        <v>208.9158433348625</v>
      </c>
    </row>
    <row r="48" spans="1:12" ht="13.5" customHeight="1" x14ac:dyDescent="0.2">
      <c r="A48" s="84"/>
      <c r="B48" s="109"/>
      <c r="C48" s="110"/>
      <c r="D48" s="111"/>
      <c r="E48" s="95"/>
      <c r="F48" s="95"/>
      <c r="G48" s="95"/>
      <c r="H48" s="95"/>
      <c r="I48" s="95"/>
    </row>
    <row r="49" spans="1:12" s="40" customFormat="1" ht="13.5" customHeight="1" x14ac:dyDescent="0.2">
      <c r="A49" s="45">
        <v>1002</v>
      </c>
      <c r="B49" s="93" t="s">
        <v>560</v>
      </c>
      <c r="C49" s="93" t="s">
        <v>691</v>
      </c>
      <c r="D49" s="94">
        <v>0.01</v>
      </c>
      <c r="E49" s="95">
        <f t="shared" si="11"/>
        <v>65.724924313147753</v>
      </c>
      <c r="F49" s="95">
        <f t="shared" si="12"/>
        <v>68.933871666771225</v>
      </c>
      <c r="G49" s="95">
        <f t="shared" si="13"/>
        <v>73.922782005607729</v>
      </c>
      <c r="H49" s="95">
        <f t="shared" si="14"/>
        <v>78.694419867375998</v>
      </c>
      <c r="I49" s="95">
        <f t="shared" si="15"/>
        <v>83.566337333945</v>
      </c>
    </row>
    <row r="50" spans="1:12" s="40" customFormat="1" ht="13.5" customHeight="1" x14ac:dyDescent="0.2">
      <c r="A50" s="45">
        <v>1004</v>
      </c>
      <c r="B50" s="93" t="s">
        <v>560</v>
      </c>
      <c r="C50" s="93" t="s">
        <v>692</v>
      </c>
      <c r="D50" s="94">
        <v>0.02</v>
      </c>
      <c r="E50" s="95">
        <f t="shared" si="11"/>
        <v>131.44984862629551</v>
      </c>
      <c r="F50" s="95">
        <f t="shared" si="12"/>
        <v>137.86774333354245</v>
      </c>
      <c r="G50" s="95">
        <f t="shared" si="13"/>
        <v>147.84556401121546</v>
      </c>
      <c r="H50" s="95">
        <f t="shared" si="14"/>
        <v>157.388839734752</v>
      </c>
      <c r="I50" s="95">
        <f t="shared" si="15"/>
        <v>167.13267466789</v>
      </c>
    </row>
    <row r="51" spans="1:12" s="40" customFormat="1" ht="13.5" customHeight="1" x14ac:dyDescent="0.2">
      <c r="A51" s="45">
        <v>1008</v>
      </c>
      <c r="B51" s="93" t="s">
        <v>560</v>
      </c>
      <c r="C51" s="93" t="s">
        <v>693</v>
      </c>
      <c r="D51" s="94">
        <v>0.04</v>
      </c>
      <c r="E51" s="95">
        <f t="shared" si="11"/>
        <v>262.89969725259101</v>
      </c>
      <c r="F51" s="95">
        <f t="shared" si="12"/>
        <v>275.7354866670849</v>
      </c>
      <c r="G51" s="95">
        <f t="shared" si="13"/>
        <v>295.69112802243092</v>
      </c>
      <c r="H51" s="95">
        <f t="shared" si="14"/>
        <v>314.77767946950399</v>
      </c>
      <c r="I51" s="95">
        <f t="shared" si="15"/>
        <v>334.26534933578</v>
      </c>
    </row>
    <row r="52" spans="1:12" s="40" customFormat="1" ht="13.5" customHeight="1" x14ac:dyDescent="0.2">
      <c r="A52" s="45">
        <v>1010</v>
      </c>
      <c r="B52" s="93" t="s">
        <v>560</v>
      </c>
      <c r="C52" s="93" t="s">
        <v>694</v>
      </c>
      <c r="D52" s="94">
        <v>0.05</v>
      </c>
      <c r="E52" s="95">
        <f t="shared" si="11"/>
        <v>328.62462156573878</v>
      </c>
      <c r="F52" s="95">
        <f t="shared" si="12"/>
        <v>344.66935833385611</v>
      </c>
      <c r="G52" s="95">
        <f t="shared" si="13"/>
        <v>369.61391002803867</v>
      </c>
      <c r="H52" s="95">
        <f t="shared" si="14"/>
        <v>393.47209933688004</v>
      </c>
      <c r="I52" s="95">
        <f t="shared" si="15"/>
        <v>417.831686669725</v>
      </c>
    </row>
    <row r="53" spans="1:12" s="40" customFormat="1" ht="13.5" customHeight="1" x14ac:dyDescent="0.2">
      <c r="A53" s="45">
        <v>1003</v>
      </c>
      <c r="B53" s="93" t="s">
        <v>560</v>
      </c>
      <c r="C53" s="93" t="s">
        <v>695</v>
      </c>
      <c r="D53" s="94">
        <v>0.06</v>
      </c>
      <c r="E53" s="95">
        <f t="shared" si="11"/>
        <v>394.34954587888649</v>
      </c>
      <c r="F53" s="95">
        <f>$F$43*D53</f>
        <v>413.60323000062732</v>
      </c>
      <c r="G53" s="95">
        <f>$G$43*D53</f>
        <v>443.53669203364637</v>
      </c>
      <c r="H53" s="95">
        <f>$H$43*D53</f>
        <v>472.16651920425596</v>
      </c>
      <c r="I53" s="95">
        <f>$I$43*D53</f>
        <v>501.39802400366995</v>
      </c>
    </row>
    <row r="54" spans="1:12" s="40" customFormat="1" ht="13.5" customHeight="1" thickBot="1" x14ac:dyDescent="0.25">
      <c r="A54" s="98">
        <v>1005</v>
      </c>
      <c r="B54" s="99" t="s">
        <v>560</v>
      </c>
      <c r="C54" s="99" t="s">
        <v>696</v>
      </c>
      <c r="D54" s="100">
        <v>7.0000000000000007E-2</v>
      </c>
      <c r="E54" s="101">
        <f t="shared" si="11"/>
        <v>460.07447019203431</v>
      </c>
      <c r="F54" s="101">
        <f>$F$43*D54</f>
        <v>482.53710166739859</v>
      </c>
      <c r="G54" s="101">
        <f>$G$43*D54</f>
        <v>517.45947403925413</v>
      </c>
      <c r="H54" s="101">
        <f>$H$43*D54</f>
        <v>550.86093907163206</v>
      </c>
      <c r="I54" s="101">
        <f>$I$43*D54</f>
        <v>584.96436133761506</v>
      </c>
    </row>
    <row r="55" spans="1:12" ht="30" customHeight="1" thickBot="1" x14ac:dyDescent="0.25">
      <c r="A55" s="102"/>
      <c r="B55" s="103"/>
      <c r="C55" s="104"/>
      <c r="D55" s="105"/>
      <c r="E55" s="76"/>
      <c r="F55" s="76"/>
      <c r="G55" s="76"/>
      <c r="H55" s="76"/>
      <c r="I55" s="76"/>
    </row>
    <row r="56" spans="1:12" ht="16.5" thickBot="1" x14ac:dyDescent="0.25">
      <c r="A56" s="570" t="s">
        <v>469</v>
      </c>
      <c r="B56" s="570" t="s">
        <v>470</v>
      </c>
      <c r="C56" s="570" t="s">
        <v>471</v>
      </c>
      <c r="D56" s="575" t="s">
        <v>473</v>
      </c>
      <c r="E56" s="567" t="s">
        <v>479</v>
      </c>
      <c r="F56" s="568"/>
      <c r="G56" s="568"/>
      <c r="H56" s="568"/>
      <c r="I56" s="569"/>
      <c r="J56" s="37"/>
      <c r="K56" s="37"/>
      <c r="L56" s="37"/>
    </row>
    <row r="57" spans="1:12" ht="13.5" customHeight="1" x14ac:dyDescent="0.2">
      <c r="A57" s="571"/>
      <c r="B57" s="573"/>
      <c r="C57" s="573"/>
      <c r="D57" s="571"/>
      <c r="E57" s="85" t="s">
        <v>474</v>
      </c>
      <c r="F57" s="85" t="s">
        <v>475</v>
      </c>
      <c r="G57" s="85" t="s">
        <v>476</v>
      </c>
      <c r="H57" s="85" t="s">
        <v>477</v>
      </c>
      <c r="I57" s="85" t="s">
        <v>478</v>
      </c>
    </row>
    <row r="58" spans="1:12" ht="13.5" customHeight="1" thickBot="1" x14ac:dyDescent="0.25">
      <c r="A58" s="572"/>
      <c r="B58" s="574"/>
      <c r="C58" s="574"/>
      <c r="D58" s="572"/>
      <c r="E58" s="112"/>
      <c r="F58" s="113"/>
      <c r="G58" s="113"/>
      <c r="H58" s="86">
        <f>'F- Firefighters (rep)'!G24</f>
        <v>7869.4419867376</v>
      </c>
      <c r="I58" s="86">
        <f>'F- Firefighters (rep)'!H24</f>
        <v>8356.6337333944994</v>
      </c>
    </row>
    <row r="59" spans="1:12" s="40" customFormat="1" ht="13.5" customHeight="1" x14ac:dyDescent="0.2">
      <c r="A59" s="87">
        <v>1032</v>
      </c>
      <c r="B59" s="88" t="s">
        <v>561</v>
      </c>
      <c r="C59" s="107" t="s">
        <v>697</v>
      </c>
      <c r="D59" s="108">
        <v>2.5000000000000001E-2</v>
      </c>
      <c r="E59" s="91"/>
      <c r="F59" s="91"/>
      <c r="G59" s="91"/>
      <c r="H59" s="91">
        <f>$H$58*D59</f>
        <v>196.73604966844002</v>
      </c>
      <c r="I59" s="91">
        <f>$I$58*D59</f>
        <v>208.9158433348625</v>
      </c>
    </row>
    <row r="60" spans="1:12" s="40" customFormat="1" ht="13.5" customHeight="1" x14ac:dyDescent="0.2">
      <c r="A60" s="45">
        <v>1036</v>
      </c>
      <c r="B60" s="92" t="s">
        <v>561</v>
      </c>
      <c r="C60" s="93" t="s">
        <v>698</v>
      </c>
      <c r="D60" s="94">
        <v>0.04</v>
      </c>
      <c r="E60" s="95"/>
      <c r="F60" s="95"/>
      <c r="G60" s="95"/>
      <c r="H60" s="95">
        <f t="shared" ref="H60:H67" si="16">$H$58*D60</f>
        <v>314.77767946950399</v>
      </c>
      <c r="I60" s="95">
        <f t="shared" ref="I60:I67" si="17">$I$58*D60</f>
        <v>334.26534933578</v>
      </c>
    </row>
    <row r="61" spans="1:12" s="40" customFormat="1" ht="13.5" customHeight="1" x14ac:dyDescent="0.2">
      <c r="A61" s="45">
        <v>1038</v>
      </c>
      <c r="B61" s="92" t="s">
        <v>561</v>
      </c>
      <c r="C61" s="93" t="s">
        <v>699</v>
      </c>
      <c r="D61" s="94">
        <v>4.4999999999999998E-2</v>
      </c>
      <c r="E61" s="95"/>
      <c r="F61" s="95"/>
      <c r="G61" s="95"/>
      <c r="H61" s="95">
        <f t="shared" si="16"/>
        <v>354.12488940319201</v>
      </c>
      <c r="I61" s="95">
        <f t="shared" si="17"/>
        <v>376.04851800275247</v>
      </c>
    </row>
    <row r="62" spans="1:12" s="40" customFormat="1" ht="13.5" customHeight="1" x14ac:dyDescent="0.2">
      <c r="A62" s="45">
        <v>1033</v>
      </c>
      <c r="B62" s="92" t="s">
        <v>561</v>
      </c>
      <c r="C62" s="93" t="s">
        <v>562</v>
      </c>
      <c r="D62" s="94">
        <v>2.5000000000000001E-2</v>
      </c>
      <c r="E62" s="95"/>
      <c r="F62" s="95"/>
      <c r="G62" s="95"/>
      <c r="H62" s="95">
        <f t="shared" si="16"/>
        <v>196.73604966844002</v>
      </c>
      <c r="I62" s="95">
        <f t="shared" si="17"/>
        <v>208.9158433348625</v>
      </c>
    </row>
    <row r="63" spans="1:12" ht="13.5" customHeight="1" x14ac:dyDescent="0.2">
      <c r="A63" s="84"/>
      <c r="B63" s="109"/>
      <c r="C63" s="110"/>
      <c r="D63" s="111"/>
      <c r="E63" s="95"/>
      <c r="F63" s="95"/>
      <c r="G63" s="95"/>
      <c r="H63" s="95"/>
      <c r="I63" s="95"/>
    </row>
    <row r="64" spans="1:12" s="40" customFormat="1" ht="13.5" customHeight="1" x14ac:dyDescent="0.2">
      <c r="A64" s="45">
        <v>1002</v>
      </c>
      <c r="B64" s="93" t="s">
        <v>560</v>
      </c>
      <c r="C64" s="93" t="s">
        <v>691</v>
      </c>
      <c r="D64" s="94">
        <v>0.01</v>
      </c>
      <c r="E64" s="95"/>
      <c r="F64" s="95"/>
      <c r="G64" s="95"/>
      <c r="H64" s="95">
        <f t="shared" si="16"/>
        <v>78.694419867375998</v>
      </c>
      <c r="I64" s="95">
        <f t="shared" si="17"/>
        <v>83.566337333945</v>
      </c>
    </row>
    <row r="65" spans="1:12" s="40" customFormat="1" ht="13.5" customHeight="1" x14ac:dyDescent="0.2">
      <c r="A65" s="45">
        <v>1004</v>
      </c>
      <c r="B65" s="93" t="s">
        <v>560</v>
      </c>
      <c r="C65" s="93" t="s">
        <v>692</v>
      </c>
      <c r="D65" s="94">
        <v>0.02</v>
      </c>
      <c r="E65" s="95"/>
      <c r="F65" s="95"/>
      <c r="G65" s="95"/>
      <c r="H65" s="95">
        <f t="shared" si="16"/>
        <v>157.388839734752</v>
      </c>
      <c r="I65" s="95">
        <f t="shared" si="17"/>
        <v>167.13267466789</v>
      </c>
    </row>
    <row r="66" spans="1:12" s="40" customFormat="1" ht="13.5" customHeight="1" x14ac:dyDescent="0.2">
      <c r="A66" s="45">
        <v>1008</v>
      </c>
      <c r="B66" s="93" t="s">
        <v>560</v>
      </c>
      <c r="C66" s="93" t="s">
        <v>693</v>
      </c>
      <c r="D66" s="94">
        <v>0.04</v>
      </c>
      <c r="E66" s="95"/>
      <c r="F66" s="95"/>
      <c r="G66" s="95"/>
      <c r="H66" s="95">
        <f t="shared" si="16"/>
        <v>314.77767946950399</v>
      </c>
      <c r="I66" s="95">
        <f t="shared" si="17"/>
        <v>334.26534933578</v>
      </c>
    </row>
    <row r="67" spans="1:12" s="40" customFormat="1" ht="13.5" customHeight="1" x14ac:dyDescent="0.2">
      <c r="A67" s="45">
        <v>1010</v>
      </c>
      <c r="B67" s="93" t="s">
        <v>560</v>
      </c>
      <c r="C67" s="93" t="s">
        <v>694</v>
      </c>
      <c r="D67" s="94">
        <v>0.05</v>
      </c>
      <c r="E67" s="95"/>
      <c r="F67" s="95"/>
      <c r="G67" s="95"/>
      <c r="H67" s="95">
        <f t="shared" si="16"/>
        <v>393.47209933688004</v>
      </c>
      <c r="I67" s="95">
        <f t="shared" si="17"/>
        <v>417.831686669725</v>
      </c>
    </row>
    <row r="68" spans="1:12" s="40" customFormat="1" ht="13.5" customHeight="1" x14ac:dyDescent="0.2">
      <c r="A68" s="45">
        <v>1003</v>
      </c>
      <c r="B68" s="93" t="s">
        <v>560</v>
      </c>
      <c r="C68" s="93" t="s">
        <v>695</v>
      </c>
      <c r="D68" s="94">
        <v>0.06</v>
      </c>
      <c r="E68" s="95"/>
      <c r="F68" s="95"/>
      <c r="G68" s="95"/>
      <c r="H68" s="95">
        <f>$H$58*D68</f>
        <v>472.16651920425596</v>
      </c>
      <c r="I68" s="95">
        <f>$I$58*D68</f>
        <v>501.39802400366995</v>
      </c>
    </row>
    <row r="69" spans="1:12" s="40" customFormat="1" ht="13.5" customHeight="1" thickBot="1" x14ac:dyDescent="0.25">
      <c r="A69" s="98">
        <v>1005</v>
      </c>
      <c r="B69" s="99" t="s">
        <v>560</v>
      </c>
      <c r="C69" s="99" t="s">
        <v>696</v>
      </c>
      <c r="D69" s="100">
        <v>7.0000000000000007E-2</v>
      </c>
      <c r="E69" s="101"/>
      <c r="F69" s="101"/>
      <c r="G69" s="101"/>
      <c r="H69" s="101">
        <f>$H$58*D69</f>
        <v>550.86093907163206</v>
      </c>
      <c r="I69" s="101">
        <f>$I$58*D69</f>
        <v>584.96436133761506</v>
      </c>
    </row>
    <row r="70" spans="1:12" ht="16.149999999999999" customHeight="1" thickBot="1" x14ac:dyDescent="0.25">
      <c r="A70" s="102"/>
      <c r="B70" s="103"/>
      <c r="C70" s="104"/>
      <c r="D70" s="105"/>
      <c r="E70" s="76"/>
      <c r="F70" s="76"/>
      <c r="G70" s="76"/>
      <c r="H70" s="76"/>
      <c r="I70" s="76"/>
    </row>
    <row r="71" spans="1:12" ht="16.5" thickBot="1" x14ac:dyDescent="0.25">
      <c r="A71" s="570" t="s">
        <v>469</v>
      </c>
      <c r="B71" s="570" t="s">
        <v>470</v>
      </c>
      <c r="C71" s="570" t="s">
        <v>471</v>
      </c>
      <c r="D71" s="575" t="s">
        <v>473</v>
      </c>
      <c r="E71" s="567" t="s">
        <v>543</v>
      </c>
      <c r="F71" s="568"/>
      <c r="G71" s="568"/>
      <c r="H71" s="568"/>
      <c r="I71" s="569"/>
      <c r="J71" s="37"/>
      <c r="K71" s="37"/>
      <c r="L71" s="37"/>
    </row>
    <row r="72" spans="1:12" ht="13.5" customHeight="1" x14ac:dyDescent="0.2">
      <c r="A72" s="571"/>
      <c r="B72" s="573"/>
      <c r="C72" s="573"/>
      <c r="D72" s="571"/>
      <c r="E72" s="85" t="s">
        <v>474</v>
      </c>
      <c r="F72" s="85" t="s">
        <v>475</v>
      </c>
      <c r="G72" s="85" t="s">
        <v>476</v>
      </c>
      <c r="H72" s="85" t="s">
        <v>477</v>
      </c>
      <c r="I72" s="85" t="s">
        <v>478</v>
      </c>
    </row>
    <row r="73" spans="1:12" ht="13.5" customHeight="1" thickBot="1" x14ac:dyDescent="0.25">
      <c r="A73" s="572"/>
      <c r="B73" s="574"/>
      <c r="C73" s="574"/>
      <c r="D73" s="572"/>
      <c r="E73" s="112"/>
      <c r="F73" s="113"/>
      <c r="G73" s="113"/>
      <c r="H73" s="86">
        <f>'F- Firefighters (rep)'!G29</f>
        <v>8656.3861854113602</v>
      </c>
      <c r="I73" s="86">
        <f>'F- Firefighters (rep)'!H29</f>
        <v>9192.2971067339495</v>
      </c>
    </row>
    <row r="74" spans="1:12" s="40" customFormat="1" ht="13.5" customHeight="1" x14ac:dyDescent="0.2">
      <c r="A74" s="87">
        <v>1032</v>
      </c>
      <c r="B74" s="88" t="s">
        <v>561</v>
      </c>
      <c r="C74" s="107" t="s">
        <v>697</v>
      </c>
      <c r="D74" s="108">
        <v>2.5000000000000001E-2</v>
      </c>
      <c r="E74" s="91"/>
      <c r="F74" s="91"/>
      <c r="G74" s="91"/>
      <c r="H74" s="91">
        <f>$H$73*D74</f>
        <v>216.40965463528403</v>
      </c>
      <c r="I74" s="91">
        <f>$I$73*D74</f>
        <v>229.80742766834874</v>
      </c>
    </row>
    <row r="75" spans="1:12" s="40" customFormat="1" ht="13.5" customHeight="1" x14ac:dyDescent="0.2">
      <c r="A75" s="45">
        <v>1036</v>
      </c>
      <c r="B75" s="92" t="s">
        <v>561</v>
      </c>
      <c r="C75" s="93" t="s">
        <v>698</v>
      </c>
      <c r="D75" s="94">
        <v>0.04</v>
      </c>
      <c r="E75" s="95"/>
      <c r="F75" s="95"/>
      <c r="G75" s="95"/>
      <c r="H75" s="95">
        <f t="shared" ref="H75:H82" si="18">$H$73*D75</f>
        <v>346.25544741645439</v>
      </c>
      <c r="I75" s="95">
        <f t="shared" ref="I75:I82" si="19">$I$73*D75</f>
        <v>367.69188426935801</v>
      </c>
    </row>
    <row r="76" spans="1:12" s="40" customFormat="1" ht="13.5" customHeight="1" x14ac:dyDescent="0.2">
      <c r="A76" s="45">
        <v>1038</v>
      </c>
      <c r="B76" s="92" t="s">
        <v>561</v>
      </c>
      <c r="C76" s="93" t="s">
        <v>699</v>
      </c>
      <c r="D76" s="94">
        <v>4.4999999999999998E-2</v>
      </c>
      <c r="E76" s="95"/>
      <c r="F76" s="95"/>
      <c r="G76" s="95"/>
      <c r="H76" s="95">
        <f t="shared" si="18"/>
        <v>389.53737834351119</v>
      </c>
      <c r="I76" s="95">
        <f t="shared" si="19"/>
        <v>413.65336980302772</v>
      </c>
    </row>
    <row r="77" spans="1:12" s="40" customFormat="1" ht="13.5" customHeight="1" x14ac:dyDescent="0.2">
      <c r="A77" s="45">
        <v>1033</v>
      </c>
      <c r="B77" s="92" t="s">
        <v>561</v>
      </c>
      <c r="C77" s="93" t="s">
        <v>562</v>
      </c>
      <c r="D77" s="94">
        <v>2.5000000000000001E-2</v>
      </c>
      <c r="E77" s="95"/>
      <c r="F77" s="95"/>
      <c r="G77" s="95"/>
      <c r="H77" s="95">
        <f t="shared" si="18"/>
        <v>216.40965463528403</v>
      </c>
      <c r="I77" s="95">
        <f t="shared" si="19"/>
        <v>229.80742766834874</v>
      </c>
    </row>
    <row r="78" spans="1:12" ht="13.5" customHeight="1" x14ac:dyDescent="0.2">
      <c r="A78" s="84"/>
      <c r="B78" s="109"/>
      <c r="C78" s="110"/>
      <c r="D78" s="111"/>
      <c r="E78" s="95"/>
      <c r="F78" s="95"/>
      <c r="G78" s="95"/>
      <c r="H78" s="95"/>
      <c r="I78" s="95"/>
    </row>
    <row r="79" spans="1:12" s="40" customFormat="1" ht="13.5" customHeight="1" x14ac:dyDescent="0.2">
      <c r="A79" s="45">
        <v>1002</v>
      </c>
      <c r="B79" s="93" t="s">
        <v>560</v>
      </c>
      <c r="C79" s="93" t="s">
        <v>691</v>
      </c>
      <c r="D79" s="94">
        <v>0.01</v>
      </c>
      <c r="E79" s="95"/>
      <c r="F79" s="95"/>
      <c r="G79" s="95"/>
      <c r="H79" s="95">
        <f t="shared" si="18"/>
        <v>86.563861854113597</v>
      </c>
      <c r="I79" s="95">
        <f t="shared" si="19"/>
        <v>91.922971067339503</v>
      </c>
    </row>
    <row r="80" spans="1:12" s="40" customFormat="1" ht="13.5" customHeight="1" x14ac:dyDescent="0.2">
      <c r="A80" s="45">
        <v>1004</v>
      </c>
      <c r="B80" s="93" t="s">
        <v>560</v>
      </c>
      <c r="C80" s="93" t="s">
        <v>692</v>
      </c>
      <c r="D80" s="94">
        <v>0.02</v>
      </c>
      <c r="E80" s="95"/>
      <c r="F80" s="95"/>
      <c r="G80" s="95"/>
      <c r="H80" s="95">
        <f t="shared" si="18"/>
        <v>173.12772370822719</v>
      </c>
      <c r="I80" s="95">
        <f t="shared" si="19"/>
        <v>183.84594213467901</v>
      </c>
    </row>
    <row r="81" spans="1:12" s="40" customFormat="1" ht="13.5" customHeight="1" x14ac:dyDescent="0.2">
      <c r="A81" s="45">
        <v>1008</v>
      </c>
      <c r="B81" s="93" t="s">
        <v>560</v>
      </c>
      <c r="C81" s="93" t="s">
        <v>693</v>
      </c>
      <c r="D81" s="94">
        <v>0.04</v>
      </c>
      <c r="E81" s="95"/>
      <c r="F81" s="95"/>
      <c r="G81" s="95"/>
      <c r="H81" s="95">
        <f t="shared" si="18"/>
        <v>346.25544741645439</v>
      </c>
      <c r="I81" s="95">
        <f t="shared" si="19"/>
        <v>367.69188426935801</v>
      </c>
    </row>
    <row r="82" spans="1:12" s="40" customFormat="1" ht="13.5" customHeight="1" x14ac:dyDescent="0.2">
      <c r="A82" s="45">
        <v>1010</v>
      </c>
      <c r="B82" s="93" t="s">
        <v>560</v>
      </c>
      <c r="C82" s="93" t="s">
        <v>694</v>
      </c>
      <c r="D82" s="94">
        <v>0.05</v>
      </c>
      <c r="E82" s="95"/>
      <c r="F82" s="95"/>
      <c r="G82" s="95"/>
      <c r="H82" s="95">
        <f t="shared" si="18"/>
        <v>432.81930927056806</v>
      </c>
      <c r="I82" s="95">
        <f t="shared" si="19"/>
        <v>459.61485533669747</v>
      </c>
    </row>
    <row r="83" spans="1:12" s="40" customFormat="1" ht="13.5" customHeight="1" x14ac:dyDescent="0.2">
      <c r="A83" s="45">
        <v>1003</v>
      </c>
      <c r="B83" s="93" t="s">
        <v>560</v>
      </c>
      <c r="C83" s="93" t="s">
        <v>695</v>
      </c>
      <c r="D83" s="94">
        <v>0.06</v>
      </c>
      <c r="E83" s="95"/>
      <c r="F83" s="95"/>
      <c r="G83" s="95"/>
      <c r="H83" s="95">
        <f>$H$73*D83</f>
        <v>519.38317112468155</v>
      </c>
      <c r="I83" s="95">
        <f>$I$73*D83</f>
        <v>551.53782640403699</v>
      </c>
    </row>
    <row r="84" spans="1:12" s="40" customFormat="1" ht="13.5" customHeight="1" thickBot="1" x14ac:dyDescent="0.25">
      <c r="A84" s="98">
        <v>1005</v>
      </c>
      <c r="B84" s="99" t="s">
        <v>560</v>
      </c>
      <c r="C84" s="99" t="s">
        <v>696</v>
      </c>
      <c r="D84" s="100">
        <v>7.0000000000000007E-2</v>
      </c>
      <c r="E84" s="101"/>
      <c r="F84" s="101"/>
      <c r="G84" s="101"/>
      <c r="H84" s="101">
        <f>$H$73*D84</f>
        <v>605.94703297879528</v>
      </c>
      <c r="I84" s="101">
        <f>$I$73*D84</f>
        <v>643.46079747137651</v>
      </c>
    </row>
    <row r="85" spans="1:12" ht="16.149999999999999" customHeight="1" thickBot="1" x14ac:dyDescent="0.25">
      <c r="A85" s="102"/>
      <c r="B85" s="103"/>
      <c r="C85" s="104"/>
      <c r="D85" s="105"/>
      <c r="E85" s="76"/>
      <c r="F85" s="76"/>
      <c r="G85" s="76"/>
      <c r="H85" s="76"/>
      <c r="I85" s="76"/>
    </row>
    <row r="86" spans="1:12" ht="16.5" thickBot="1" x14ac:dyDescent="0.25">
      <c r="A86" s="570" t="s">
        <v>469</v>
      </c>
      <c r="B86" s="570" t="s">
        <v>470</v>
      </c>
      <c r="C86" s="570" t="s">
        <v>471</v>
      </c>
      <c r="D86" s="575" t="s">
        <v>473</v>
      </c>
      <c r="E86" s="567" t="s">
        <v>480</v>
      </c>
      <c r="F86" s="568"/>
      <c r="G86" s="568"/>
      <c r="H86" s="568"/>
      <c r="I86" s="569"/>
      <c r="J86" s="37"/>
      <c r="K86" s="37"/>
      <c r="L86" s="37"/>
    </row>
    <row r="87" spans="1:12" ht="13.5" customHeight="1" x14ac:dyDescent="0.2">
      <c r="A87" s="571"/>
      <c r="B87" s="573"/>
      <c r="C87" s="573"/>
      <c r="D87" s="571"/>
      <c r="E87" s="85" t="s">
        <v>474</v>
      </c>
      <c r="F87" s="85" t="s">
        <v>475</v>
      </c>
      <c r="G87" s="85" t="s">
        <v>476</v>
      </c>
      <c r="H87" s="85" t="s">
        <v>477</v>
      </c>
      <c r="I87" s="85" t="s">
        <v>478</v>
      </c>
    </row>
    <row r="88" spans="1:12" ht="13.5" customHeight="1" thickBot="1" x14ac:dyDescent="0.25">
      <c r="A88" s="572"/>
      <c r="B88" s="574"/>
      <c r="C88" s="574"/>
      <c r="D88" s="572"/>
      <c r="E88" s="112"/>
      <c r="F88" s="113"/>
      <c r="G88" s="113"/>
      <c r="H88" s="86">
        <f>'F- Firefighters (rep)'!G34</f>
        <v>8656.3861854113602</v>
      </c>
      <c r="I88" s="86">
        <f>'F- Firefighters (rep)'!H34</f>
        <v>9192.2971067339495</v>
      </c>
    </row>
    <row r="89" spans="1:12" s="40" customFormat="1" ht="13.5" customHeight="1" x14ac:dyDescent="0.2">
      <c r="A89" s="87">
        <v>1032</v>
      </c>
      <c r="B89" s="88" t="s">
        <v>561</v>
      </c>
      <c r="C89" s="107" t="s">
        <v>697</v>
      </c>
      <c r="D89" s="108">
        <v>2.5000000000000001E-2</v>
      </c>
      <c r="E89" s="91"/>
      <c r="F89" s="91"/>
      <c r="G89" s="91"/>
      <c r="H89" s="91">
        <f>$H$88*D89</f>
        <v>216.40965463528403</v>
      </c>
      <c r="I89" s="91">
        <f>$I$88*D89</f>
        <v>229.80742766834874</v>
      </c>
    </row>
    <row r="90" spans="1:12" s="40" customFormat="1" ht="13.5" customHeight="1" x14ac:dyDescent="0.2">
      <c r="A90" s="45">
        <v>1038</v>
      </c>
      <c r="B90" s="92" t="s">
        <v>561</v>
      </c>
      <c r="C90" s="93" t="s">
        <v>700</v>
      </c>
      <c r="D90" s="94">
        <v>4.4999999999999998E-2</v>
      </c>
      <c r="E90" s="95"/>
      <c r="F90" s="95"/>
      <c r="G90" s="95"/>
      <c r="H90" s="95">
        <f t="shared" ref="H90:H97" si="20">$H$88*D90</f>
        <v>389.53737834351119</v>
      </c>
      <c r="I90" s="95">
        <f t="shared" ref="I90:I97" si="21">$I$88*D90</f>
        <v>413.65336980302772</v>
      </c>
    </row>
    <row r="91" spans="1:12" s="40" customFormat="1" ht="13.5" customHeight="1" x14ac:dyDescent="0.2">
      <c r="A91" s="45">
        <v>1040</v>
      </c>
      <c r="B91" s="92" t="s">
        <v>561</v>
      </c>
      <c r="C91" s="93" t="s">
        <v>701</v>
      </c>
      <c r="D91" s="94">
        <v>0.05</v>
      </c>
      <c r="E91" s="95"/>
      <c r="F91" s="95"/>
      <c r="G91" s="95"/>
      <c r="H91" s="95">
        <f t="shared" si="20"/>
        <v>432.81930927056806</v>
      </c>
      <c r="I91" s="95">
        <f t="shared" si="21"/>
        <v>459.61485533669747</v>
      </c>
    </row>
    <row r="92" spans="1:12" s="40" customFormat="1" ht="13.5" customHeight="1" x14ac:dyDescent="0.2">
      <c r="A92" s="45">
        <v>1033</v>
      </c>
      <c r="B92" s="92" t="s">
        <v>561</v>
      </c>
      <c r="C92" s="93" t="s">
        <v>562</v>
      </c>
      <c r="D92" s="94">
        <v>2.5000000000000001E-2</v>
      </c>
      <c r="E92" s="95"/>
      <c r="F92" s="95"/>
      <c r="G92" s="95"/>
      <c r="H92" s="95">
        <f t="shared" si="20"/>
        <v>216.40965463528403</v>
      </c>
      <c r="I92" s="95">
        <f t="shared" si="21"/>
        <v>229.80742766834874</v>
      </c>
    </row>
    <row r="93" spans="1:12" ht="13.5" customHeight="1" x14ac:dyDescent="0.2">
      <c r="A93" s="84"/>
      <c r="B93" s="109"/>
      <c r="C93" s="110"/>
      <c r="D93" s="111"/>
      <c r="E93" s="95"/>
      <c r="F93" s="95"/>
      <c r="G93" s="95"/>
      <c r="H93" s="95"/>
      <c r="I93" s="95"/>
    </row>
    <row r="94" spans="1:12" s="40" customFormat="1" ht="13.5" customHeight="1" x14ac:dyDescent="0.2">
      <c r="A94" s="45">
        <v>1002</v>
      </c>
      <c r="B94" s="93" t="s">
        <v>560</v>
      </c>
      <c r="C94" s="93" t="s">
        <v>691</v>
      </c>
      <c r="D94" s="94">
        <v>0.01</v>
      </c>
      <c r="E94" s="95"/>
      <c r="F94" s="95"/>
      <c r="G94" s="95"/>
      <c r="H94" s="95">
        <f t="shared" si="20"/>
        <v>86.563861854113597</v>
      </c>
      <c r="I94" s="95">
        <f t="shared" si="21"/>
        <v>91.922971067339503</v>
      </c>
    </row>
    <row r="95" spans="1:12" s="40" customFormat="1" ht="13.5" customHeight="1" x14ac:dyDescent="0.2">
      <c r="A95" s="45">
        <v>1004</v>
      </c>
      <c r="B95" s="93" t="s">
        <v>560</v>
      </c>
      <c r="C95" s="93" t="s">
        <v>692</v>
      </c>
      <c r="D95" s="94">
        <v>0.02</v>
      </c>
      <c r="E95" s="95"/>
      <c r="F95" s="95"/>
      <c r="G95" s="95"/>
      <c r="H95" s="95">
        <f t="shared" si="20"/>
        <v>173.12772370822719</v>
      </c>
      <c r="I95" s="95">
        <f t="shared" si="21"/>
        <v>183.84594213467901</v>
      </c>
    </row>
    <row r="96" spans="1:12" s="40" customFormat="1" ht="13.5" customHeight="1" x14ac:dyDescent="0.2">
      <c r="A96" s="45">
        <v>1008</v>
      </c>
      <c r="B96" s="93" t="s">
        <v>560</v>
      </c>
      <c r="C96" s="93" t="s">
        <v>693</v>
      </c>
      <c r="D96" s="94">
        <v>0.04</v>
      </c>
      <c r="E96" s="95"/>
      <c r="F96" s="95"/>
      <c r="G96" s="95"/>
      <c r="H96" s="95">
        <f t="shared" si="20"/>
        <v>346.25544741645439</v>
      </c>
      <c r="I96" s="95">
        <f t="shared" si="21"/>
        <v>367.69188426935801</v>
      </c>
    </row>
    <row r="97" spans="1:12" s="40" customFormat="1" ht="13.5" customHeight="1" x14ac:dyDescent="0.2">
      <c r="A97" s="45">
        <v>1010</v>
      </c>
      <c r="B97" s="93" t="s">
        <v>560</v>
      </c>
      <c r="C97" s="93" t="s">
        <v>694</v>
      </c>
      <c r="D97" s="94">
        <v>0.05</v>
      </c>
      <c r="E97" s="95"/>
      <c r="F97" s="95"/>
      <c r="G97" s="95"/>
      <c r="H97" s="95">
        <f t="shared" si="20"/>
        <v>432.81930927056806</v>
      </c>
      <c r="I97" s="95">
        <f t="shared" si="21"/>
        <v>459.61485533669747</v>
      </c>
    </row>
    <row r="98" spans="1:12" s="40" customFormat="1" ht="13.5" customHeight="1" x14ac:dyDescent="0.2">
      <c r="A98" s="45">
        <v>1003</v>
      </c>
      <c r="B98" s="93" t="s">
        <v>560</v>
      </c>
      <c r="C98" s="93" t="s">
        <v>695</v>
      </c>
      <c r="D98" s="94">
        <v>0.06</v>
      </c>
      <c r="E98" s="95"/>
      <c r="F98" s="95"/>
      <c r="G98" s="95"/>
      <c r="H98" s="95">
        <f>$H$88*D98</f>
        <v>519.38317112468155</v>
      </c>
      <c r="I98" s="95">
        <f>$I$88*D98</f>
        <v>551.53782640403699</v>
      </c>
    </row>
    <row r="99" spans="1:12" s="40" customFormat="1" ht="13.5" customHeight="1" thickBot="1" x14ac:dyDescent="0.25">
      <c r="A99" s="98">
        <v>1005</v>
      </c>
      <c r="B99" s="99" t="s">
        <v>560</v>
      </c>
      <c r="C99" s="99" t="s">
        <v>696</v>
      </c>
      <c r="D99" s="100">
        <v>7.0000000000000007E-2</v>
      </c>
      <c r="E99" s="101"/>
      <c r="F99" s="101"/>
      <c r="G99" s="101"/>
      <c r="H99" s="101">
        <f>$H$88*D99</f>
        <v>605.94703297879528</v>
      </c>
      <c r="I99" s="101">
        <f>$I$88*D99</f>
        <v>643.46079747137651</v>
      </c>
    </row>
    <row r="100" spans="1:12" ht="16.149999999999999" customHeight="1" thickBot="1" x14ac:dyDescent="0.25">
      <c r="A100" s="102"/>
      <c r="B100" s="103"/>
      <c r="C100" s="104"/>
      <c r="D100" s="105"/>
      <c r="E100" s="76"/>
      <c r="F100" s="76"/>
      <c r="G100" s="76"/>
      <c r="H100" s="76"/>
      <c r="I100" s="76"/>
    </row>
    <row r="101" spans="1:12" ht="16.5" thickBot="1" x14ac:dyDescent="0.25">
      <c r="A101" s="570" t="s">
        <v>469</v>
      </c>
      <c r="B101" s="570" t="s">
        <v>470</v>
      </c>
      <c r="C101" s="570" t="s">
        <v>471</v>
      </c>
      <c r="D101" s="575" t="s">
        <v>473</v>
      </c>
      <c r="E101" s="576" t="s">
        <v>544</v>
      </c>
      <c r="F101" s="577"/>
      <c r="G101" s="577"/>
      <c r="H101" s="577"/>
      <c r="I101" s="578"/>
      <c r="J101" s="37"/>
      <c r="K101" s="37"/>
      <c r="L101" s="37"/>
    </row>
    <row r="102" spans="1:12" ht="13.5" customHeight="1" x14ac:dyDescent="0.2">
      <c r="A102" s="571"/>
      <c r="B102" s="573"/>
      <c r="C102" s="573"/>
      <c r="D102" s="571"/>
      <c r="E102" s="85" t="s">
        <v>474</v>
      </c>
      <c r="F102" s="85" t="s">
        <v>475</v>
      </c>
      <c r="G102" s="85" t="s">
        <v>476</v>
      </c>
      <c r="H102" s="85" t="s">
        <v>477</v>
      </c>
      <c r="I102" s="85" t="s">
        <v>478</v>
      </c>
    </row>
    <row r="103" spans="1:12" ht="13.5" customHeight="1" thickBot="1" x14ac:dyDescent="0.25">
      <c r="A103" s="572"/>
      <c r="B103" s="574"/>
      <c r="C103" s="574"/>
      <c r="D103" s="572"/>
      <c r="E103" s="112"/>
      <c r="F103" s="113"/>
      <c r="G103" s="113"/>
      <c r="H103" s="86">
        <f>'F- Firefighters (rep)'!G39</f>
        <v>9522.0248039524959</v>
      </c>
      <c r="I103" s="86">
        <f>'F- Firefighters (rep)'!H39</f>
        <v>10111.526817407344</v>
      </c>
    </row>
    <row r="104" spans="1:12" s="40" customFormat="1" ht="13.5" customHeight="1" x14ac:dyDescent="0.2">
      <c r="A104" s="87">
        <v>1032</v>
      </c>
      <c r="B104" s="88" t="s">
        <v>561</v>
      </c>
      <c r="C104" s="107" t="s">
        <v>697</v>
      </c>
      <c r="D104" s="108">
        <v>2.5000000000000001E-2</v>
      </c>
      <c r="E104" s="91"/>
      <c r="F104" s="91"/>
      <c r="G104" s="91"/>
      <c r="H104" s="91">
        <f>$H$103*D104</f>
        <v>238.0506200988124</v>
      </c>
      <c r="I104" s="91">
        <f>$I$103*D104</f>
        <v>252.78817043518362</v>
      </c>
    </row>
    <row r="105" spans="1:12" s="40" customFormat="1" ht="13.5" customHeight="1" x14ac:dyDescent="0.2">
      <c r="A105" s="45">
        <v>1038</v>
      </c>
      <c r="B105" s="92" t="s">
        <v>561</v>
      </c>
      <c r="C105" s="93" t="s">
        <v>700</v>
      </c>
      <c r="D105" s="94">
        <v>4.4999999999999998E-2</v>
      </c>
      <c r="E105" s="95"/>
      <c r="F105" s="95"/>
      <c r="G105" s="95"/>
      <c r="H105" s="95">
        <f t="shared" ref="H105:H112" si="22">$H$103*D105</f>
        <v>428.4911161778623</v>
      </c>
      <c r="I105" s="95">
        <f t="shared" ref="I105:I112" si="23">$I$103*D105</f>
        <v>455.01870678333046</v>
      </c>
    </row>
    <row r="106" spans="1:12" s="40" customFormat="1" ht="13.5" customHeight="1" x14ac:dyDescent="0.2">
      <c r="A106" s="45">
        <v>1040</v>
      </c>
      <c r="B106" s="92" t="s">
        <v>561</v>
      </c>
      <c r="C106" s="93" t="s">
        <v>701</v>
      </c>
      <c r="D106" s="94">
        <v>0.05</v>
      </c>
      <c r="E106" s="95"/>
      <c r="F106" s="95"/>
      <c r="G106" s="95"/>
      <c r="H106" s="95">
        <f t="shared" si="22"/>
        <v>476.1012401976248</v>
      </c>
      <c r="I106" s="95">
        <f t="shared" si="23"/>
        <v>505.57634087036723</v>
      </c>
    </row>
    <row r="107" spans="1:12" s="40" customFormat="1" ht="13.5" customHeight="1" x14ac:dyDescent="0.2">
      <c r="A107" s="45">
        <v>1033</v>
      </c>
      <c r="B107" s="92" t="s">
        <v>561</v>
      </c>
      <c r="C107" s="93" t="s">
        <v>562</v>
      </c>
      <c r="D107" s="94">
        <v>2.5000000000000001E-2</v>
      </c>
      <c r="E107" s="95"/>
      <c r="F107" s="95"/>
      <c r="G107" s="95"/>
      <c r="H107" s="95">
        <f t="shared" si="22"/>
        <v>238.0506200988124</v>
      </c>
      <c r="I107" s="95">
        <f t="shared" si="23"/>
        <v>252.78817043518362</v>
      </c>
    </row>
    <row r="108" spans="1:12" ht="13.5" customHeight="1" x14ac:dyDescent="0.2">
      <c r="A108" s="84"/>
      <c r="B108" s="109"/>
      <c r="C108" s="110"/>
      <c r="D108" s="111"/>
      <c r="E108" s="95"/>
      <c r="F108" s="95"/>
      <c r="G108" s="95"/>
      <c r="H108" s="95"/>
      <c r="I108" s="95"/>
    </row>
    <row r="109" spans="1:12" s="40" customFormat="1" ht="13.5" customHeight="1" x14ac:dyDescent="0.2">
      <c r="A109" s="45">
        <v>1002</v>
      </c>
      <c r="B109" s="93" t="s">
        <v>560</v>
      </c>
      <c r="C109" s="93" t="s">
        <v>691</v>
      </c>
      <c r="D109" s="94">
        <v>0.01</v>
      </c>
      <c r="E109" s="95"/>
      <c r="F109" s="95"/>
      <c r="G109" s="95"/>
      <c r="H109" s="95">
        <f t="shared" si="22"/>
        <v>95.220248039524961</v>
      </c>
      <c r="I109" s="95">
        <f t="shared" si="23"/>
        <v>101.11526817407345</v>
      </c>
    </row>
    <row r="110" spans="1:12" s="40" customFormat="1" ht="13.5" customHeight="1" x14ac:dyDescent="0.2">
      <c r="A110" s="45">
        <v>1004</v>
      </c>
      <c r="B110" s="93" t="s">
        <v>560</v>
      </c>
      <c r="C110" s="93" t="s">
        <v>692</v>
      </c>
      <c r="D110" s="94">
        <v>0.02</v>
      </c>
      <c r="E110" s="95"/>
      <c r="F110" s="95"/>
      <c r="G110" s="95"/>
      <c r="H110" s="95">
        <f t="shared" si="22"/>
        <v>190.44049607904992</v>
      </c>
      <c r="I110" s="95">
        <f t="shared" si="23"/>
        <v>202.2305363481469</v>
      </c>
    </row>
    <row r="111" spans="1:12" s="40" customFormat="1" ht="13.5" customHeight="1" x14ac:dyDescent="0.2">
      <c r="A111" s="45">
        <v>1008</v>
      </c>
      <c r="B111" s="93" t="s">
        <v>560</v>
      </c>
      <c r="C111" s="93" t="s">
        <v>693</v>
      </c>
      <c r="D111" s="94">
        <v>0.04</v>
      </c>
      <c r="E111" s="95"/>
      <c r="F111" s="95"/>
      <c r="G111" s="95"/>
      <c r="H111" s="95">
        <f t="shared" si="22"/>
        <v>380.88099215809984</v>
      </c>
      <c r="I111" s="95">
        <f t="shared" si="23"/>
        <v>404.4610726962938</v>
      </c>
    </row>
    <row r="112" spans="1:12" s="40" customFormat="1" ht="13.5" customHeight="1" x14ac:dyDescent="0.2">
      <c r="A112" s="45">
        <v>1010</v>
      </c>
      <c r="B112" s="93" t="s">
        <v>560</v>
      </c>
      <c r="C112" s="93" t="s">
        <v>694</v>
      </c>
      <c r="D112" s="94">
        <v>0.05</v>
      </c>
      <c r="E112" s="95"/>
      <c r="F112" s="95"/>
      <c r="G112" s="95"/>
      <c r="H112" s="95">
        <f t="shared" si="22"/>
        <v>476.1012401976248</v>
      </c>
      <c r="I112" s="95">
        <f t="shared" si="23"/>
        <v>505.57634087036723</v>
      </c>
    </row>
    <row r="113" spans="1:9" ht="12.75" x14ac:dyDescent="0.2">
      <c r="A113" s="45">
        <v>1003</v>
      </c>
      <c r="B113" s="93" t="s">
        <v>560</v>
      </c>
      <c r="C113" s="93" t="s">
        <v>695</v>
      </c>
      <c r="D113" s="94">
        <v>0.06</v>
      </c>
      <c r="E113" s="95"/>
      <c r="F113" s="95"/>
      <c r="G113" s="95"/>
      <c r="H113" s="95">
        <f>$H$103*D113</f>
        <v>571.32148823714977</v>
      </c>
      <c r="I113" s="95">
        <f>$I$103*D113</f>
        <v>606.69160904444061</v>
      </c>
    </row>
    <row r="114" spans="1:9" ht="18" customHeight="1" thickBot="1" x14ac:dyDescent="0.25">
      <c r="A114" s="98">
        <v>1005</v>
      </c>
      <c r="B114" s="99" t="s">
        <v>560</v>
      </c>
      <c r="C114" s="99" t="s">
        <v>696</v>
      </c>
      <c r="D114" s="100">
        <v>7.0000000000000007E-2</v>
      </c>
      <c r="E114" s="101"/>
      <c r="F114" s="101"/>
      <c r="G114" s="101"/>
      <c r="H114" s="101">
        <f>$H$103*D114</f>
        <v>666.54173627667478</v>
      </c>
      <c r="I114" s="101">
        <f>$I$103*D114</f>
        <v>707.80687721851416</v>
      </c>
    </row>
  </sheetData>
  <customSheetViews>
    <customSheetView guid="{03674138-A9FA-46A6-AB09-A74C70852C0D}" showPageBreaks="1" printArea="1" state="hidden" view="pageLayout">
      <pageMargins left="0.25" right="0.25" top="0.5" bottom="0.5" header="0.5" footer="0.25"/>
      <printOptions horizontalCentered="1"/>
      <pageSetup scale="91" fitToHeight="4" orientation="portrait" r:id="rId1"/>
      <headerFooter alignWithMargins="0">
        <oddFooter>&amp;C&amp;"Arial,Bold"&amp;16&amp;A&amp;RIAFF1604 Firefighters
2015 Add to Pay Rates</oddFooter>
      </headerFooter>
    </customSheetView>
    <customSheetView guid="{6140C585-A678-4296-91B8-0C17DF653D09}" showPageBreaks="1" printArea="1" view="pageLayout">
      <pageMargins left="0.25" right="0.25" top="0.5" bottom="0.5" header="0.5" footer="0.25"/>
      <printOptions horizontalCentered="1"/>
      <pageSetup scale="91" fitToHeight="4" orientation="portrait" r:id="rId2"/>
      <headerFooter alignWithMargins="0">
        <oddFooter>&amp;C&amp;"Arial,Bold"&amp;16&amp;A&amp;RIAFF1604 Firefighters
2015 Add to Pay Rates</oddFooter>
      </headerFooter>
    </customSheetView>
    <customSheetView guid="{49073133-97C6-4E81-BEFE-D9E658C173F7}" showPageBreaks="1" printArea="1" view="pageLayout">
      <pageMargins left="0.25" right="0.25" top="0.5" bottom="0.5" header="0.5" footer="0.25"/>
      <printOptions horizontalCentered="1"/>
      <pageSetup scale="91" fitToHeight="4" orientation="portrait" r:id="rId3"/>
      <headerFooter alignWithMargins="0">
        <oddFooter>&amp;C&amp;"Arial,Bold"&amp;16&amp;A&amp;RIAFF1604 Firefighters
2015 Add to Pay Rates</oddFooter>
      </headerFooter>
    </customSheetView>
  </customSheetViews>
  <mergeCells count="36">
    <mergeCell ref="G1:I1"/>
    <mergeCell ref="A26:A28"/>
    <mergeCell ref="B26:B28"/>
    <mergeCell ref="C26:C28"/>
    <mergeCell ref="D26:D28"/>
    <mergeCell ref="E11:I11"/>
    <mergeCell ref="A11:A13"/>
    <mergeCell ref="B11:B13"/>
    <mergeCell ref="C11:C13"/>
    <mergeCell ref="D11:D13"/>
    <mergeCell ref="E26:I26"/>
    <mergeCell ref="A41:A43"/>
    <mergeCell ref="B41:B43"/>
    <mergeCell ref="C41:C43"/>
    <mergeCell ref="D41:D43"/>
    <mergeCell ref="E41:I41"/>
    <mergeCell ref="E56:I56"/>
    <mergeCell ref="A71:A73"/>
    <mergeCell ref="B71:B73"/>
    <mergeCell ref="C71:C73"/>
    <mergeCell ref="D71:D73"/>
    <mergeCell ref="E71:I71"/>
    <mergeCell ref="A56:A58"/>
    <mergeCell ref="B56:B58"/>
    <mergeCell ref="C56:C58"/>
    <mergeCell ref="D56:D58"/>
    <mergeCell ref="E86:I86"/>
    <mergeCell ref="A101:A103"/>
    <mergeCell ref="B101:B103"/>
    <mergeCell ref="C101:C103"/>
    <mergeCell ref="D101:D103"/>
    <mergeCell ref="E101:I101"/>
    <mergeCell ref="A86:A88"/>
    <mergeCell ref="B86:B88"/>
    <mergeCell ref="C86:C88"/>
    <mergeCell ref="D86:D88"/>
  </mergeCells>
  <phoneticPr fontId="7" type="noConversion"/>
  <printOptions horizontalCentered="1"/>
  <pageMargins left="0.25" right="0.25" top="0.5" bottom="0.5" header="0.5" footer="0.25"/>
  <pageSetup scale="91" fitToHeight="4" orientation="portrait" r:id="rId4"/>
  <headerFooter alignWithMargins="0">
    <oddFooter>&amp;C&amp;"Arial,Bold"&amp;16&amp;A&amp;RIAFF1604 Firefighters
2015 Add to Pay Rates</oddFooter>
  </headerFooter>
  <rowBreaks count="1" manualBreakCount="1">
    <brk id="5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54</vt:i4>
      </vt:variant>
    </vt:vector>
  </HeadingPairs>
  <TitlesOfParts>
    <vt:vector size="85" baseType="lpstr">
      <vt:lpstr>Job Table</vt:lpstr>
      <vt:lpstr>A- Maint (rep)</vt:lpstr>
      <vt:lpstr>B- Parks,Util,Civic Svc (rep)</vt:lpstr>
      <vt:lpstr>C- City Council eff 1-7-17</vt:lpstr>
      <vt:lpstr>C- City Council exp 1-6-17</vt:lpstr>
      <vt:lpstr>D- Police Support (rep)</vt:lpstr>
      <vt:lpstr>E -Executive</vt:lpstr>
      <vt:lpstr>F- Firefighters (rep)</vt:lpstr>
      <vt:lpstr>FN1</vt:lpstr>
      <vt:lpstr>G - General Pay Plan</vt:lpstr>
      <vt:lpstr>H- Bldg Insp, Examiners (rep)</vt:lpstr>
      <vt:lpstr>H1</vt:lpstr>
      <vt:lpstr>I -Signals &amp; Electronics (rep)</vt:lpstr>
      <vt:lpstr>J- Police Mgmt (rep)</vt:lpstr>
      <vt:lpstr>J1</vt:lpstr>
      <vt:lpstr>K- Fire Prevention (rep)</vt:lpstr>
      <vt:lpstr>K1</vt:lpstr>
      <vt:lpstr>L-Batt Chiefs (rep)</vt:lpstr>
      <vt:lpstr>LU1</vt:lpstr>
      <vt:lpstr>M-Mid Mgmt</vt:lpstr>
      <vt:lpstr>M1</vt:lpstr>
      <vt:lpstr>N-Fire (rep)</vt:lpstr>
      <vt:lpstr>P-Police (rep)</vt:lpstr>
      <vt:lpstr>P1</vt:lpstr>
      <vt:lpstr>R-Rec Assts</vt:lpstr>
      <vt:lpstr>S-Police Support Supvsr</vt:lpstr>
      <vt:lpstr>T-City Manager eff 2-24-17</vt:lpstr>
      <vt:lpstr>T-City Manager exp 2-23-17</vt:lpstr>
      <vt:lpstr>U-Batt Chief (rep)</vt:lpstr>
      <vt:lpstr>V-Fire Marshal</vt:lpstr>
      <vt:lpstr>W - Bldg Div Sups (rep)</vt:lpstr>
      <vt:lpstr>'A- Maint (rep)'!Print_Area</vt:lpstr>
      <vt:lpstr>'B- Parks,Util,Civic Svc (rep)'!Print_Area</vt:lpstr>
      <vt:lpstr>'C- City Council eff 1-7-17'!Print_Area</vt:lpstr>
      <vt:lpstr>'C- City Council exp 1-6-17'!Print_Area</vt:lpstr>
      <vt:lpstr>'D- Police Support (rep)'!Print_Area</vt:lpstr>
      <vt:lpstr>'E -Executive'!Print_Area</vt:lpstr>
      <vt:lpstr>'F- Firefighters (rep)'!Print_Area</vt:lpstr>
      <vt:lpstr>'FN1'!Print_Area</vt:lpstr>
      <vt:lpstr>'G - General Pay Plan'!Print_Area</vt:lpstr>
      <vt:lpstr>'H- Bldg Insp, Examiners (rep)'!Print_Area</vt:lpstr>
      <vt:lpstr>'H1'!Print_Area</vt:lpstr>
      <vt:lpstr>'I -Signals &amp; Electronics (rep)'!Print_Area</vt:lpstr>
      <vt:lpstr>'J- Police Mgmt (rep)'!Print_Area</vt:lpstr>
      <vt:lpstr>'J1'!Print_Area</vt:lpstr>
      <vt:lpstr>'Job Table'!Print_Area</vt:lpstr>
      <vt:lpstr>'K- Fire Prevention (rep)'!Print_Area</vt:lpstr>
      <vt:lpstr>'K1'!Print_Area</vt:lpstr>
      <vt:lpstr>'L-Batt Chiefs (rep)'!Print_Area</vt:lpstr>
      <vt:lpstr>'LU1'!Print_Area</vt:lpstr>
      <vt:lpstr>'M1'!Print_Area</vt:lpstr>
      <vt:lpstr>'M-Mid Mgmt'!Print_Area</vt:lpstr>
      <vt:lpstr>'N-Fire (rep)'!Print_Area</vt:lpstr>
      <vt:lpstr>'P1'!Print_Area</vt:lpstr>
      <vt:lpstr>'P-Police (rep)'!Print_Area</vt:lpstr>
      <vt:lpstr>'R-Rec Assts'!Print_Area</vt:lpstr>
      <vt:lpstr>'S-Police Support Supvsr'!Print_Area</vt:lpstr>
      <vt:lpstr>'T-City Manager eff 2-24-17'!Print_Area</vt:lpstr>
      <vt:lpstr>'T-City Manager exp 2-23-17'!Print_Area</vt:lpstr>
      <vt:lpstr>'U-Batt Chief (rep)'!Print_Area</vt:lpstr>
      <vt:lpstr>'V-Fire Marshal'!Print_Area</vt:lpstr>
      <vt:lpstr>'W - Bldg Div Sups (rep)'!Print_Area</vt:lpstr>
      <vt:lpstr>'B- Parks,Util,Civic Svc (rep)'!Print_Titles</vt:lpstr>
      <vt:lpstr>'C- City Council eff 1-7-17'!Print_Titles</vt:lpstr>
      <vt:lpstr>'C- City Council exp 1-6-17'!Print_Titles</vt:lpstr>
      <vt:lpstr>'D- Police Support (rep)'!Print_Titles</vt:lpstr>
      <vt:lpstr>'E -Executive'!Print_Titles</vt:lpstr>
      <vt:lpstr>'F- Firefighters (rep)'!Print_Titles</vt:lpstr>
      <vt:lpstr>'G - General Pay Plan'!Print_Titles</vt:lpstr>
      <vt:lpstr>'H- Bldg Insp, Examiners (rep)'!Print_Titles</vt:lpstr>
      <vt:lpstr>'I -Signals &amp; Electronics (rep)'!Print_Titles</vt:lpstr>
      <vt:lpstr>'J- Police Mgmt (rep)'!Print_Titles</vt:lpstr>
      <vt:lpstr>'Job Table'!Print_Titles</vt:lpstr>
      <vt:lpstr>'K- Fire Prevention (rep)'!Print_Titles</vt:lpstr>
      <vt:lpstr>'L-Batt Chiefs (rep)'!Print_Titles</vt:lpstr>
      <vt:lpstr>'M-Mid Mgmt'!Print_Titles</vt:lpstr>
      <vt:lpstr>'N-Fire (rep)'!Print_Titles</vt:lpstr>
      <vt:lpstr>'P-Police (rep)'!Print_Titles</vt:lpstr>
      <vt:lpstr>'R-Rec Assts'!Print_Titles</vt:lpstr>
      <vt:lpstr>'S-Police Support Supvsr'!Print_Titles</vt:lpstr>
      <vt:lpstr>'T-City Manager eff 2-24-17'!Print_Titles</vt:lpstr>
      <vt:lpstr>'T-City Manager exp 2-23-17'!Print_Titles</vt:lpstr>
      <vt:lpstr>'U-Batt Chief (rep)'!Print_Titles</vt:lpstr>
      <vt:lpstr>'V-Fire Marshal'!Print_Titles</vt:lpstr>
      <vt:lpstr>'W - Bldg Div Sups (rep)'!Print_Titles</vt:lpstr>
    </vt:vector>
  </TitlesOfParts>
  <Company>COB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Lee</dc:creator>
  <cp:lastModifiedBy>mkast</cp:lastModifiedBy>
  <cp:lastPrinted>2017-12-18T20:17:09Z</cp:lastPrinted>
  <dcterms:created xsi:type="dcterms:W3CDTF">1999-12-07T17:48:11Z</dcterms:created>
  <dcterms:modified xsi:type="dcterms:W3CDTF">2018-01-19T15:38:21Z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